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070" activeTab="3"/>
  </bookViews>
  <sheets>
    <sheet name="Fall 2009" sheetId="1" r:id="rId1"/>
    <sheet name="Fall 2006" sheetId="2" r:id="rId2"/>
    <sheet name="Spring 2006" sheetId="3" r:id="rId3"/>
    <sheet name="Fall 2005" sheetId="4" r:id="rId4"/>
  </sheets>
  <definedNames/>
  <calcPr fullCalcOnLoad="1"/>
</workbook>
</file>

<file path=xl/sharedStrings.xml><?xml version="1.0" encoding="utf-8"?>
<sst xmlns="http://schemas.openxmlformats.org/spreadsheetml/2006/main" count="189" uniqueCount="39">
  <si>
    <t>Outcome 1:  Content &amp; Purpose</t>
  </si>
  <si>
    <t>Elements</t>
  </si>
  <si>
    <t>Not Applicable</t>
  </si>
  <si>
    <t>1. Fulfills the assignment/purpose</t>
  </si>
  <si>
    <t>2. Thesis</t>
  </si>
  <si>
    <t>3. Organization and logic</t>
  </si>
  <si>
    <t>4. Significance of claims/analysis of ideas</t>
  </si>
  <si>
    <t>5. Quality of evidence/information</t>
  </si>
  <si>
    <t>6. Voice/understanding of audience</t>
  </si>
  <si>
    <t>Outcome 2:  Style &amp; Conventions</t>
  </si>
  <si>
    <t>1. Mechanics of format</t>
  </si>
  <si>
    <t>2. Use of graphics</t>
  </si>
  <si>
    <t>3. Documentation</t>
  </si>
  <si>
    <t>4. Usage</t>
  </si>
  <si>
    <t>5. Style/word choice</t>
  </si>
  <si>
    <t>Number of Courses:</t>
  </si>
  <si>
    <t>Total number of Students:</t>
  </si>
  <si>
    <t>* one survey overreported by two students</t>
  </si>
  <si>
    <t>*one survey overreported by one student</t>
  </si>
  <si>
    <t>Percentages</t>
  </si>
  <si>
    <t>Fall 2005</t>
  </si>
  <si>
    <t>WC Assessment</t>
  </si>
  <si>
    <t>Total</t>
  </si>
  <si>
    <t>Number</t>
  </si>
  <si>
    <t>Spring 2006</t>
  </si>
  <si>
    <t>Number of Course Sections:</t>
  </si>
  <si>
    <t>*</t>
  </si>
  <si>
    <t>**</t>
  </si>
  <si>
    <t>(one survey under-reported 2)</t>
  </si>
  <si>
    <t>(three surveys under-reported 4)</t>
  </si>
  <si>
    <t>(one survey under-reported 1)</t>
  </si>
  <si>
    <t>*One section included assessments on a draft and final assignment.  Only the final assignment is included in these totals.</t>
  </si>
  <si>
    <t>** Two surveys indicated multiple students (42 and 3), but only reported one response each.  Only one student was added in for each of these sections.</t>
  </si>
  <si>
    <t>*one survey over-reported by one student</t>
  </si>
  <si>
    <t>*One section reported using a substantially different assignment this year as compared to last year.</t>
  </si>
  <si>
    <t>** Two surveys indicated multiple students, but only reported one response each.  For these two sections, the total number of students was added in the designated category.</t>
  </si>
  <si>
    <t xml:space="preserve">Fall 2006 </t>
  </si>
  <si>
    <t>*Approximate number - didn't ask for number in class</t>
  </si>
  <si>
    <t>Fall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</si>
</sst>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55" applyFont="1">
      <alignment/>
      <protection/>
    </xf>
    <xf numFmtId="0" fontId="0" fillId="0" borderId="0" xfId="55">
      <alignment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 applyAlignment="1">
      <alignment horizontal="center" wrapText="1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1" fillId="33" borderId="0" xfId="55" applyFont="1" applyFill="1" applyAlignment="1">
      <alignment horizontal="center"/>
      <protection/>
    </xf>
    <xf numFmtId="0" fontId="1" fillId="33" borderId="0" xfId="0" applyFont="1" applyFill="1" applyAlignment="1">
      <alignment horizontal="center"/>
    </xf>
    <xf numFmtId="0" fontId="0" fillId="0" borderId="0" xfId="55" applyAlignment="1">
      <alignment horizontal="center"/>
      <protection/>
    </xf>
    <xf numFmtId="9" fontId="0" fillId="0" borderId="0" xfId="55" applyNumberFormat="1" applyAlignment="1">
      <alignment horizontal="center"/>
      <protection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3">
      <selection activeCell="B40" sqref="B40:F44"/>
    </sheetView>
  </sheetViews>
  <sheetFormatPr defaultColWidth="9.140625" defaultRowHeight="12.75"/>
  <cols>
    <col min="1" max="1" width="36.421875" style="8" bestFit="1" customWidth="1"/>
    <col min="2" max="2" width="10.421875" style="8" bestFit="1" customWidth="1"/>
    <col min="3" max="5" width="9.421875" style="8" bestFit="1" customWidth="1"/>
    <col min="6" max="6" width="10.28125" style="8" bestFit="1" customWidth="1"/>
    <col min="7" max="16384" width="9.140625" style="8" customWidth="1"/>
  </cols>
  <sheetData>
    <row r="1" ht="23.25">
      <c r="A1" s="15" t="s">
        <v>21</v>
      </c>
    </row>
    <row r="2" ht="20.25">
      <c r="A2" s="14" t="s">
        <v>38</v>
      </c>
    </row>
    <row r="3" ht="12.75">
      <c r="A3" s="7"/>
    </row>
    <row r="4" spans="1:2" ht="12.75">
      <c r="A4" s="7" t="s">
        <v>25</v>
      </c>
      <c r="B4" s="7">
        <v>39</v>
      </c>
    </row>
    <row r="5" spans="1:3" ht="12.75">
      <c r="A5" s="7" t="s">
        <v>16</v>
      </c>
      <c r="B5" s="7">
        <v>620</v>
      </c>
      <c r="C5" s="7" t="s">
        <v>26</v>
      </c>
    </row>
    <row r="6" spans="1:3" ht="12.75">
      <c r="A6" s="7"/>
      <c r="B6" s="7"/>
      <c r="C6" s="7"/>
    </row>
    <row r="7" ht="15.75">
      <c r="A7" s="13" t="s">
        <v>23</v>
      </c>
    </row>
    <row r="8" spans="1:6" ht="12.75">
      <c r="A8" s="16" t="s">
        <v>0</v>
      </c>
      <c r="B8" s="16"/>
      <c r="C8" s="16"/>
      <c r="D8" s="16"/>
      <c r="E8" s="16"/>
      <c r="F8" s="16"/>
    </row>
    <row r="9" spans="1:6" ht="12.75">
      <c r="A9" s="9" t="s">
        <v>1</v>
      </c>
      <c r="B9" s="9">
        <v>4</v>
      </c>
      <c r="C9" s="9">
        <v>3</v>
      </c>
      <c r="D9" s="9">
        <v>2</v>
      </c>
      <c r="E9" s="9">
        <v>1</v>
      </c>
      <c r="F9" s="9" t="s">
        <v>22</v>
      </c>
    </row>
    <row r="10" spans="1:6" ht="12.75">
      <c r="A10" s="8" t="s">
        <v>3</v>
      </c>
      <c r="B10" s="18">
        <v>272</v>
      </c>
      <c r="C10" s="18">
        <v>214</v>
      </c>
      <c r="D10" s="18">
        <v>89</v>
      </c>
      <c r="E10" s="18">
        <v>12</v>
      </c>
      <c r="F10" s="18">
        <f aca="true" t="shared" si="0" ref="F10:F15">B10+C10+D10+E10</f>
        <v>587</v>
      </c>
    </row>
    <row r="11" spans="1:6" ht="12.75">
      <c r="A11" s="8" t="s">
        <v>4</v>
      </c>
      <c r="B11" s="18">
        <v>333</v>
      </c>
      <c r="C11" s="18">
        <v>181</v>
      </c>
      <c r="D11" s="18">
        <v>93</v>
      </c>
      <c r="E11" s="18">
        <v>12</v>
      </c>
      <c r="F11" s="18">
        <f t="shared" si="0"/>
        <v>619</v>
      </c>
    </row>
    <row r="12" spans="1:6" ht="12.75">
      <c r="A12" s="8" t="s">
        <v>5</v>
      </c>
      <c r="B12" s="18">
        <v>272</v>
      </c>
      <c r="C12" s="18">
        <v>233</v>
      </c>
      <c r="D12" s="18">
        <v>102</v>
      </c>
      <c r="E12" s="18">
        <v>12</v>
      </c>
      <c r="F12" s="18">
        <f t="shared" si="0"/>
        <v>619</v>
      </c>
    </row>
    <row r="13" spans="1:6" ht="12.75">
      <c r="A13" s="8" t="s">
        <v>6</v>
      </c>
      <c r="B13" s="18">
        <v>229</v>
      </c>
      <c r="C13" s="18">
        <v>266</v>
      </c>
      <c r="D13" s="18">
        <v>99</v>
      </c>
      <c r="E13" s="18">
        <v>26</v>
      </c>
      <c r="F13" s="18">
        <f t="shared" si="0"/>
        <v>620</v>
      </c>
    </row>
    <row r="14" spans="1:6" ht="12.75">
      <c r="A14" s="8" t="s">
        <v>7</v>
      </c>
      <c r="B14" s="18">
        <v>256</v>
      </c>
      <c r="C14" s="18">
        <v>218</v>
      </c>
      <c r="D14" s="18">
        <v>105</v>
      </c>
      <c r="E14" s="18">
        <v>15</v>
      </c>
      <c r="F14" s="18">
        <f t="shared" si="0"/>
        <v>594</v>
      </c>
    </row>
    <row r="15" spans="1:6" ht="12.75">
      <c r="A15" s="8" t="s">
        <v>8</v>
      </c>
      <c r="B15" s="18">
        <v>300</v>
      </c>
      <c r="C15" s="18">
        <v>189</v>
      </c>
      <c r="D15" s="18">
        <v>84</v>
      </c>
      <c r="E15" s="18">
        <v>11</v>
      </c>
      <c r="F15" s="18">
        <f t="shared" si="0"/>
        <v>584</v>
      </c>
    </row>
    <row r="18" spans="1:6" ht="12.75">
      <c r="A18" s="16" t="s">
        <v>9</v>
      </c>
      <c r="B18" s="16"/>
      <c r="C18" s="16"/>
      <c r="D18" s="16"/>
      <c r="E18" s="16"/>
      <c r="F18" s="16"/>
    </row>
    <row r="19" spans="1:6" ht="12.75">
      <c r="A19" s="9" t="s">
        <v>1</v>
      </c>
      <c r="B19" s="9">
        <v>4</v>
      </c>
      <c r="C19" s="9">
        <v>3</v>
      </c>
      <c r="D19" s="9">
        <v>2</v>
      </c>
      <c r="E19" s="9">
        <v>1</v>
      </c>
      <c r="F19" s="9" t="s">
        <v>22</v>
      </c>
    </row>
    <row r="20" spans="1:6" ht="12.75">
      <c r="A20" s="8" t="s">
        <v>10</v>
      </c>
      <c r="B20" s="18">
        <v>331</v>
      </c>
      <c r="C20" s="18">
        <v>196</v>
      </c>
      <c r="D20" s="18">
        <v>53</v>
      </c>
      <c r="E20" s="18">
        <v>5</v>
      </c>
      <c r="F20" s="18">
        <f>B20+C20+D20+E20</f>
        <v>585</v>
      </c>
    </row>
    <row r="21" spans="1:6" ht="12.75">
      <c r="A21" s="8" t="s">
        <v>11</v>
      </c>
      <c r="B21" s="18">
        <v>174</v>
      </c>
      <c r="C21" s="18">
        <v>102</v>
      </c>
      <c r="D21" s="18">
        <v>51</v>
      </c>
      <c r="E21" s="18">
        <v>11</v>
      </c>
      <c r="F21" s="18">
        <f>B21+C21+D21+E21</f>
        <v>338</v>
      </c>
    </row>
    <row r="22" spans="1:6" ht="12.75">
      <c r="A22" s="8" t="s">
        <v>12</v>
      </c>
      <c r="B22" s="18">
        <v>274</v>
      </c>
      <c r="C22" s="18">
        <v>175</v>
      </c>
      <c r="D22" s="18">
        <v>101</v>
      </c>
      <c r="E22" s="18">
        <v>11</v>
      </c>
      <c r="F22" s="18">
        <f>B22+C22+D22+E22</f>
        <v>561</v>
      </c>
    </row>
    <row r="23" spans="1:6" ht="12.75">
      <c r="A23" s="8" t="s">
        <v>13</v>
      </c>
      <c r="B23" s="18">
        <v>298</v>
      </c>
      <c r="C23" s="18">
        <v>174</v>
      </c>
      <c r="D23" s="18">
        <v>73</v>
      </c>
      <c r="E23" s="18">
        <v>11</v>
      </c>
      <c r="F23" s="18">
        <f>B23+C23+D23+E23</f>
        <v>556</v>
      </c>
    </row>
    <row r="24" spans="1:6" ht="12.75">
      <c r="A24" s="8" t="s">
        <v>14</v>
      </c>
      <c r="B24" s="18">
        <v>257</v>
      </c>
      <c r="C24" s="18">
        <v>206</v>
      </c>
      <c r="D24" s="18">
        <v>93</v>
      </c>
      <c r="E24" s="18">
        <v>27</v>
      </c>
      <c r="F24" s="18">
        <f>B24+C24+D24+E24</f>
        <v>583</v>
      </c>
    </row>
    <row r="27" ht="15.75">
      <c r="A27" s="13" t="s">
        <v>19</v>
      </c>
    </row>
    <row r="28" spans="1:6" ht="12.75">
      <c r="A28" s="16" t="s">
        <v>0</v>
      </c>
      <c r="B28" s="16"/>
      <c r="C28" s="16"/>
      <c r="D28" s="16"/>
      <c r="E28" s="16"/>
      <c r="F28" s="16"/>
    </row>
    <row r="29" spans="1:6" ht="12.75">
      <c r="A29" s="9" t="s">
        <v>1</v>
      </c>
      <c r="B29" s="9">
        <v>4</v>
      </c>
      <c r="C29" s="9">
        <v>3</v>
      </c>
      <c r="D29" s="9">
        <v>2</v>
      </c>
      <c r="E29" s="9">
        <v>1</v>
      </c>
      <c r="F29" s="9" t="s">
        <v>22</v>
      </c>
    </row>
    <row r="30" spans="1:6" ht="12.75">
      <c r="A30" s="8" t="s">
        <v>3</v>
      </c>
      <c r="B30" s="19">
        <f aca="true" t="shared" si="1" ref="B30:B35">B10/F10</f>
        <v>0.46337308347529815</v>
      </c>
      <c r="C30" s="19">
        <f aca="true" t="shared" si="2" ref="C30:C35">C10/F10</f>
        <v>0.3645655877342419</v>
      </c>
      <c r="D30" s="19">
        <f aca="true" t="shared" si="3" ref="D30:D35">D10/F10</f>
        <v>0.151618398637138</v>
      </c>
      <c r="E30" s="19">
        <f aca="true" t="shared" si="4" ref="E30:E35">E10/F10</f>
        <v>0.020442930153321975</v>
      </c>
      <c r="F30" s="19">
        <f aca="true" t="shared" si="5" ref="F30:F35">B30+C30+D30+E30</f>
        <v>1</v>
      </c>
    </row>
    <row r="31" spans="1:6" ht="12.75">
      <c r="A31" s="8" t="s">
        <v>4</v>
      </c>
      <c r="B31" s="19">
        <f t="shared" si="1"/>
        <v>0.5379644588045234</v>
      </c>
      <c r="C31" s="19">
        <f t="shared" si="2"/>
        <v>0.2924071082390953</v>
      </c>
      <c r="D31" s="19">
        <f t="shared" si="3"/>
        <v>0.15024232633279483</v>
      </c>
      <c r="E31" s="19">
        <f t="shared" si="4"/>
        <v>0.01938610662358643</v>
      </c>
      <c r="F31" s="19">
        <f t="shared" si="5"/>
        <v>0.9999999999999999</v>
      </c>
    </row>
    <row r="32" spans="1:6" ht="12.75">
      <c r="A32" s="8" t="s">
        <v>5</v>
      </c>
      <c r="B32" s="19">
        <f t="shared" si="1"/>
        <v>0.4394184168012924</v>
      </c>
      <c r="C32" s="19">
        <f t="shared" si="2"/>
        <v>0.3764135702746365</v>
      </c>
      <c r="D32" s="19">
        <f t="shared" si="3"/>
        <v>0.16478190630048464</v>
      </c>
      <c r="E32" s="19">
        <f t="shared" si="4"/>
        <v>0.01938610662358643</v>
      </c>
      <c r="F32" s="19">
        <f t="shared" si="5"/>
        <v>1</v>
      </c>
    </row>
    <row r="33" spans="1:6" ht="12.75">
      <c r="A33" s="8" t="s">
        <v>6</v>
      </c>
      <c r="B33" s="19">
        <f t="shared" si="1"/>
        <v>0.36935483870967745</v>
      </c>
      <c r="C33" s="19">
        <f t="shared" si="2"/>
        <v>0.4290322580645161</v>
      </c>
      <c r="D33" s="19">
        <f t="shared" si="3"/>
        <v>0.1596774193548387</v>
      </c>
      <c r="E33" s="19">
        <f t="shared" si="4"/>
        <v>0.041935483870967745</v>
      </c>
      <c r="F33" s="19">
        <f t="shared" si="5"/>
        <v>1</v>
      </c>
    </row>
    <row r="34" spans="1:6" ht="12.75">
      <c r="A34" s="8" t="s">
        <v>7</v>
      </c>
      <c r="B34" s="19">
        <f t="shared" si="1"/>
        <v>0.43097643097643096</v>
      </c>
      <c r="C34" s="19">
        <f t="shared" si="2"/>
        <v>0.367003367003367</v>
      </c>
      <c r="D34" s="19">
        <f t="shared" si="3"/>
        <v>0.17676767676767677</v>
      </c>
      <c r="E34" s="19">
        <f t="shared" si="4"/>
        <v>0.025252525252525252</v>
      </c>
      <c r="F34" s="19">
        <f t="shared" si="5"/>
        <v>1</v>
      </c>
    </row>
    <row r="35" spans="1:6" ht="12.75">
      <c r="A35" s="8" t="s">
        <v>8</v>
      </c>
      <c r="B35" s="19">
        <f t="shared" si="1"/>
        <v>0.5136986301369864</v>
      </c>
      <c r="C35" s="19">
        <f t="shared" si="2"/>
        <v>0.3236301369863014</v>
      </c>
      <c r="D35" s="19">
        <f t="shared" si="3"/>
        <v>0.14383561643835616</v>
      </c>
      <c r="E35" s="19">
        <f t="shared" si="4"/>
        <v>0.018835616438356163</v>
      </c>
      <c r="F35" s="19">
        <f t="shared" si="5"/>
        <v>1</v>
      </c>
    </row>
    <row r="36" spans="2:6" ht="12.75">
      <c r="B36" s="18"/>
      <c r="C36" s="18"/>
      <c r="D36" s="18"/>
      <c r="E36" s="18"/>
      <c r="F36" s="18"/>
    </row>
    <row r="38" spans="1:6" ht="12.75">
      <c r="A38" s="16" t="s">
        <v>9</v>
      </c>
      <c r="B38" s="16"/>
      <c r="C38" s="16"/>
      <c r="D38" s="16"/>
      <c r="E38" s="16"/>
      <c r="F38" s="16"/>
    </row>
    <row r="39" spans="1:6" ht="12.75">
      <c r="A39" s="9" t="s">
        <v>1</v>
      </c>
      <c r="B39" s="9">
        <v>4</v>
      </c>
      <c r="C39" s="9">
        <v>3</v>
      </c>
      <c r="D39" s="9">
        <v>2</v>
      </c>
      <c r="E39" s="9">
        <v>1</v>
      </c>
      <c r="F39" s="9" t="s">
        <v>22</v>
      </c>
    </row>
    <row r="40" spans="1:6" ht="12.75">
      <c r="A40" s="8" t="s">
        <v>10</v>
      </c>
      <c r="B40" s="19">
        <f>B20/F20</f>
        <v>0.5658119658119658</v>
      </c>
      <c r="C40" s="19">
        <f>C20/F20</f>
        <v>0.335042735042735</v>
      </c>
      <c r="D40" s="19">
        <f>D20/F20</f>
        <v>0.0905982905982906</v>
      </c>
      <c r="E40" s="19">
        <f>E20/F20</f>
        <v>0.008547008547008548</v>
      </c>
      <c r="F40" s="19">
        <f>B40+C40+D40+E40</f>
        <v>0.9999999999999999</v>
      </c>
    </row>
    <row r="41" spans="1:6" ht="12.75">
      <c r="A41" s="8" t="s">
        <v>11</v>
      </c>
      <c r="B41" s="19">
        <f>B21/F21</f>
        <v>0.514792899408284</v>
      </c>
      <c r="C41" s="19">
        <f>C21/F21</f>
        <v>0.30177514792899407</v>
      </c>
      <c r="D41" s="19">
        <f>D21/F21</f>
        <v>0.15088757396449703</v>
      </c>
      <c r="E41" s="19">
        <f>E21/F21</f>
        <v>0.03254437869822485</v>
      </c>
      <c r="F41" s="19">
        <f>B41+C41+D41+E41</f>
        <v>1</v>
      </c>
    </row>
    <row r="42" spans="1:6" ht="12.75">
      <c r="A42" s="8" t="s">
        <v>12</v>
      </c>
      <c r="B42" s="19">
        <f>B22/F22</f>
        <v>0.48841354723707664</v>
      </c>
      <c r="C42" s="19">
        <f>C22/F22</f>
        <v>0.31194295900178254</v>
      </c>
      <c r="D42" s="19">
        <f>D22/F22</f>
        <v>0.1800356506238859</v>
      </c>
      <c r="E42" s="19">
        <f>E22/F22</f>
        <v>0.0196078431372549</v>
      </c>
      <c r="F42" s="19">
        <f>B42+C42+D42+E42</f>
        <v>1</v>
      </c>
    </row>
    <row r="43" spans="1:6" ht="12.75">
      <c r="A43" s="8" t="s">
        <v>13</v>
      </c>
      <c r="B43" s="19">
        <f>B23/F23</f>
        <v>0.5359712230215827</v>
      </c>
      <c r="C43" s="19">
        <f>C23/F23</f>
        <v>0.3129496402877698</v>
      </c>
      <c r="D43" s="19">
        <f>D23/F23</f>
        <v>0.13129496402877697</v>
      </c>
      <c r="E43" s="19">
        <f>E23/F23</f>
        <v>0.019784172661870502</v>
      </c>
      <c r="F43" s="19">
        <f>B43+C43+D43+E43</f>
        <v>1</v>
      </c>
    </row>
    <row r="44" spans="1:6" ht="12.75">
      <c r="A44" s="8" t="s">
        <v>14</v>
      </c>
      <c r="B44" s="19">
        <f>B24/F24</f>
        <v>0.44082332761578047</v>
      </c>
      <c r="C44" s="19">
        <f>C24/F24</f>
        <v>0.35334476843910806</v>
      </c>
      <c r="D44" s="19">
        <f>D24/F24</f>
        <v>0.1595197255574614</v>
      </c>
      <c r="E44" s="19">
        <f>E24/F24</f>
        <v>0.04631217838765009</v>
      </c>
      <c r="F44" s="19">
        <f>B44+C44+D44+E44</f>
        <v>1</v>
      </c>
    </row>
    <row r="46" ht="12.75">
      <c r="A46" s="11" t="s">
        <v>37</v>
      </c>
    </row>
    <row r="47" ht="12.75">
      <c r="A47" s="12"/>
    </row>
  </sheetData>
  <sheetProtection/>
  <mergeCells count="4">
    <mergeCell ref="A8:F8"/>
    <mergeCell ref="A18:F18"/>
    <mergeCell ref="A28:F28"/>
    <mergeCell ref="A38:F38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6.421875" style="8" bestFit="1" customWidth="1"/>
    <col min="2" max="2" width="10.421875" style="8" bestFit="1" customWidth="1"/>
    <col min="3" max="5" width="9.421875" style="8" bestFit="1" customWidth="1"/>
    <col min="6" max="6" width="11.7109375" style="8" customWidth="1"/>
    <col min="7" max="7" width="10.28125" style="8" bestFit="1" customWidth="1"/>
    <col min="8" max="16384" width="9.140625" style="8" customWidth="1"/>
  </cols>
  <sheetData>
    <row r="1" ht="23.25">
      <c r="A1" s="15" t="s">
        <v>21</v>
      </c>
    </row>
    <row r="2" ht="20.25">
      <c r="A2" s="14" t="s">
        <v>36</v>
      </c>
    </row>
    <row r="3" ht="12.75">
      <c r="A3" s="7"/>
    </row>
    <row r="4" spans="1:3" ht="12.75">
      <c r="A4" s="7" t="s">
        <v>25</v>
      </c>
      <c r="B4" s="7">
        <v>13</v>
      </c>
      <c r="C4" s="8" t="s">
        <v>26</v>
      </c>
    </row>
    <row r="5" spans="1:3" ht="12.75">
      <c r="A5" s="7" t="s">
        <v>16</v>
      </c>
      <c r="B5" s="7">
        <f>9+14+24+10+10+17+8+23+18+13+10+51+24</f>
        <v>231</v>
      </c>
      <c r="C5" s="7" t="s">
        <v>27</v>
      </c>
    </row>
    <row r="6" spans="1:3" ht="12.75">
      <c r="A6" s="7"/>
      <c r="B6" s="7"/>
      <c r="C6" s="7"/>
    </row>
    <row r="7" ht="15.75">
      <c r="A7" s="13" t="s">
        <v>23</v>
      </c>
    </row>
    <row r="8" spans="1:7" ht="12.75">
      <c r="A8" s="16" t="s">
        <v>0</v>
      </c>
      <c r="B8" s="16"/>
      <c r="C8" s="16"/>
      <c r="D8" s="16"/>
      <c r="E8" s="16"/>
      <c r="F8" s="16"/>
      <c r="G8" s="16"/>
    </row>
    <row r="9" spans="1:7" ht="25.5">
      <c r="A9" s="9" t="s">
        <v>1</v>
      </c>
      <c r="B9" s="9">
        <v>4</v>
      </c>
      <c r="C9" s="9">
        <v>3</v>
      </c>
      <c r="D9" s="9">
        <v>2</v>
      </c>
      <c r="E9" s="9">
        <v>1</v>
      </c>
      <c r="F9" s="10" t="s">
        <v>2</v>
      </c>
      <c r="G9" s="9" t="s">
        <v>22</v>
      </c>
    </row>
    <row r="10" spans="1:7" ht="12.75">
      <c r="A10" s="8" t="s">
        <v>3</v>
      </c>
      <c r="B10" s="18">
        <f>9+0+15+6+2+17+7+14+18+2+10+28+15</f>
        <v>143</v>
      </c>
      <c r="C10" s="18">
        <f>0+14+8+3+6+0+1+7+0+8+0+18+6</f>
        <v>71</v>
      </c>
      <c r="D10" s="18">
        <f>0+0+1+1+2+0+0+2+0+3+0+5+3</f>
        <v>17</v>
      </c>
      <c r="E10" s="18">
        <v>0</v>
      </c>
      <c r="F10" s="18">
        <v>0</v>
      </c>
      <c r="G10" s="18">
        <f aca="true" t="shared" si="0" ref="G10:G15">B10+C10+D10+E10+F10</f>
        <v>231</v>
      </c>
    </row>
    <row r="11" spans="1:7" ht="12.75">
      <c r="A11" s="8" t="s">
        <v>4</v>
      </c>
      <c r="B11" s="18">
        <f>9+0+15+6+5+14+7+8+18+6+5+51+14</f>
        <v>158</v>
      </c>
      <c r="C11" s="18">
        <f>0+14+8+4+5+3+1+7+0+4+5+0+10</f>
        <v>61</v>
      </c>
      <c r="D11" s="18">
        <f>0+0+1+0+0+0+0+4+0+3+0+0+0</f>
        <v>8</v>
      </c>
      <c r="E11" s="18">
        <v>4</v>
      </c>
      <c r="F11" s="18">
        <v>0</v>
      </c>
      <c r="G11" s="18">
        <f t="shared" si="0"/>
        <v>231</v>
      </c>
    </row>
    <row r="12" spans="1:7" ht="12.75">
      <c r="A12" s="8" t="s">
        <v>5</v>
      </c>
      <c r="B12" s="18">
        <f>0+14+16+3+3+13+7+8+8+8+7+7+8</f>
        <v>102</v>
      </c>
      <c r="C12" s="18">
        <f>9+0+7+6+5+4+1+9+8+2+3+44+10</f>
        <v>108</v>
      </c>
      <c r="D12" s="18">
        <f>0+0+1+1+2+0+0+5+2+3+0+0+6</f>
        <v>20</v>
      </c>
      <c r="E12" s="18">
        <v>1</v>
      </c>
      <c r="F12" s="18">
        <v>0</v>
      </c>
      <c r="G12" s="18">
        <f t="shared" si="0"/>
        <v>231</v>
      </c>
    </row>
    <row r="13" spans="1:7" ht="12.75">
      <c r="A13" s="8" t="s">
        <v>6</v>
      </c>
      <c r="B13" s="18">
        <f>9+0+16+1+2+14+7+7+7+8+7+23+6</f>
        <v>107</v>
      </c>
      <c r="C13" s="18">
        <f>0+14+7+8+5+3+1+6+10+2+3+28+13</f>
        <v>100</v>
      </c>
      <c r="D13" s="18">
        <f>0+0+1+1+3+0+0+7+1+3+0+0+5</f>
        <v>21</v>
      </c>
      <c r="E13" s="18">
        <v>3</v>
      </c>
      <c r="F13" s="18">
        <v>0</v>
      </c>
      <c r="G13" s="18">
        <f t="shared" si="0"/>
        <v>231</v>
      </c>
    </row>
    <row r="14" spans="1:7" ht="12.75">
      <c r="A14" s="8" t="s">
        <v>7</v>
      </c>
      <c r="B14" s="18">
        <f>9+0+15+4+3+11+7+8+5+7+6+9+9</f>
        <v>93</v>
      </c>
      <c r="C14" s="18">
        <f>0+14+7+5+5+6+0+8+12+3+4+39+11</f>
        <v>114</v>
      </c>
      <c r="D14" s="18">
        <f>0+0+2+1+2+0+1+5+1+3+0+3+4</f>
        <v>22</v>
      </c>
      <c r="E14" s="18">
        <v>2</v>
      </c>
      <c r="F14" s="18">
        <v>0</v>
      </c>
      <c r="G14" s="18">
        <f t="shared" si="0"/>
        <v>231</v>
      </c>
    </row>
    <row r="15" spans="1:7" ht="12.75">
      <c r="A15" s="8" t="s">
        <v>8</v>
      </c>
      <c r="B15" s="18">
        <f>9+0+17+3+4+15+7+6+10+8+5+51+12</f>
        <v>147</v>
      </c>
      <c r="C15" s="18">
        <f>0+0+6+7+4+2+1+7+7+5+3+0+11</f>
        <v>53</v>
      </c>
      <c r="D15" s="18">
        <f>0+14+1+0+2+0+0+9+1+0+2+0+1</f>
        <v>30</v>
      </c>
      <c r="E15" s="18">
        <v>1</v>
      </c>
      <c r="F15" s="18">
        <v>0</v>
      </c>
      <c r="G15" s="18">
        <f t="shared" si="0"/>
        <v>231</v>
      </c>
    </row>
    <row r="18" spans="1:7" ht="12.75">
      <c r="A18" s="16" t="s">
        <v>9</v>
      </c>
      <c r="B18" s="16"/>
      <c r="C18" s="16"/>
      <c r="D18" s="16"/>
      <c r="E18" s="16"/>
      <c r="F18" s="16"/>
      <c r="G18" s="16"/>
    </row>
    <row r="19" spans="1:7" ht="25.5">
      <c r="A19" s="9" t="s">
        <v>1</v>
      </c>
      <c r="B19" s="9">
        <v>4</v>
      </c>
      <c r="C19" s="9">
        <v>3</v>
      </c>
      <c r="D19" s="9">
        <v>2</v>
      </c>
      <c r="E19" s="9">
        <v>1</v>
      </c>
      <c r="F19" s="10" t="s">
        <v>2</v>
      </c>
      <c r="G19" s="9" t="s">
        <v>22</v>
      </c>
    </row>
    <row r="20" spans="1:8" ht="12.75">
      <c r="A20" s="8" t="s">
        <v>10</v>
      </c>
      <c r="B20" s="18">
        <f>9+0+16+3+3+12+7+11+3+3+10+34+16</f>
        <v>127</v>
      </c>
      <c r="C20" s="18">
        <f>0+14+8+7+7+5+1+8+12+8+0+15+7</f>
        <v>92</v>
      </c>
      <c r="D20" s="18">
        <f>0+0+0+0+0+0+0+4+3+2+0+2+2</f>
        <v>13</v>
      </c>
      <c r="E20" s="18">
        <v>0</v>
      </c>
      <c r="F20" s="18">
        <v>0</v>
      </c>
      <c r="G20" s="18">
        <f>B20+C20+D20+E20+F20</f>
        <v>232</v>
      </c>
      <c r="H20" s="8" t="s">
        <v>33</v>
      </c>
    </row>
    <row r="21" spans="1:8" ht="12.75">
      <c r="A21" s="8" t="s">
        <v>11</v>
      </c>
      <c r="B21" s="18">
        <f>9+14+0+5+0+5+0+0+11+0+0+0+9</f>
        <v>53</v>
      </c>
      <c r="C21" s="18">
        <f>0+0+0+5+0+0+0+0+5+0+0+0+11</f>
        <v>21</v>
      </c>
      <c r="D21" s="18">
        <f>5</f>
        <v>5</v>
      </c>
      <c r="E21" s="18">
        <v>0</v>
      </c>
      <c r="F21" s="18">
        <f>0+0+24+0+10+12+8+23+2+13+10+51+0</f>
        <v>153</v>
      </c>
      <c r="G21" s="18">
        <f>B21+C21+D21+E21+F21</f>
        <v>232</v>
      </c>
      <c r="H21" s="8" t="s">
        <v>33</v>
      </c>
    </row>
    <row r="22" spans="1:7" ht="12.75">
      <c r="A22" s="8" t="s">
        <v>12</v>
      </c>
      <c r="B22" s="18">
        <f>9+0+17+9+3+17+7+9+13+5+3+25+14</f>
        <v>131</v>
      </c>
      <c r="C22" s="18">
        <f>14+6+2+7+26+5+10+5+9</f>
        <v>84</v>
      </c>
      <c r="D22" s="18">
        <f>1+2+2+1+2+1</f>
        <v>9</v>
      </c>
      <c r="E22" s="18">
        <f>1+1+3+1</f>
        <v>6</v>
      </c>
      <c r="F22" s="18">
        <v>1</v>
      </c>
      <c r="G22" s="18">
        <f>B22+C22+D22+E22+F22</f>
        <v>231</v>
      </c>
    </row>
    <row r="23" spans="1:7" ht="12.75">
      <c r="A23" s="8" t="s">
        <v>13</v>
      </c>
      <c r="B23" s="18">
        <f>0+0+20+4+3+17+7+9+3+6+9+20+10</f>
        <v>108</v>
      </c>
      <c r="C23" s="18">
        <f>9+14+4+6+5+0+1+10+13+4+1+30+12</f>
        <v>109</v>
      </c>
      <c r="D23" s="18">
        <f>0+0+0+0+2+0+0+4+2+2+0+1+2</f>
        <v>13</v>
      </c>
      <c r="E23" s="18">
        <v>1</v>
      </c>
      <c r="F23" s="18">
        <v>0</v>
      </c>
      <c r="G23" s="18">
        <f>B23+C23+D23+E23+F23</f>
        <v>231</v>
      </c>
    </row>
    <row r="24" spans="1:7" ht="12.75">
      <c r="A24" s="8" t="s">
        <v>14</v>
      </c>
      <c r="B24" s="18">
        <f>0+0+20+5+5+13+7+8+4+4+9+40+10</f>
        <v>125</v>
      </c>
      <c r="C24" s="18">
        <f>9+14+4+5+4+4+1+10+14+8+1+11+10</f>
        <v>95</v>
      </c>
      <c r="D24" s="18">
        <f>5+1+4</f>
        <v>10</v>
      </c>
      <c r="E24" s="18">
        <v>1</v>
      </c>
      <c r="F24" s="18">
        <v>0</v>
      </c>
      <c r="G24" s="18">
        <f>B24+C24+D24+E24+F24</f>
        <v>231</v>
      </c>
    </row>
    <row r="27" ht="15.75">
      <c r="A27" s="13" t="s">
        <v>19</v>
      </c>
    </row>
    <row r="28" spans="1:7" ht="12.75">
      <c r="A28" s="16" t="s">
        <v>0</v>
      </c>
      <c r="B28" s="16"/>
      <c r="C28" s="16"/>
      <c r="D28" s="16"/>
      <c r="E28" s="16"/>
      <c r="F28" s="16"/>
      <c r="G28" s="16"/>
    </row>
    <row r="29" spans="1:7" ht="25.5">
      <c r="A29" s="9" t="s">
        <v>1</v>
      </c>
      <c r="B29" s="9">
        <v>4</v>
      </c>
      <c r="C29" s="9">
        <v>3</v>
      </c>
      <c r="D29" s="9">
        <v>2</v>
      </c>
      <c r="E29" s="9">
        <v>1</v>
      </c>
      <c r="F29" s="10" t="s">
        <v>2</v>
      </c>
      <c r="G29" s="9" t="s">
        <v>22</v>
      </c>
    </row>
    <row r="30" spans="1:7" ht="12.75">
      <c r="A30" s="8" t="s">
        <v>3</v>
      </c>
      <c r="B30" s="19">
        <f aca="true" t="shared" si="1" ref="B30:B35">B10/G10</f>
        <v>0.6190476190476191</v>
      </c>
      <c r="C30" s="19">
        <f aca="true" t="shared" si="2" ref="C30:C35">C10/G10</f>
        <v>0.30735930735930733</v>
      </c>
      <c r="D30" s="19">
        <f aca="true" t="shared" si="3" ref="D30:D35">D10/G10</f>
        <v>0.0735930735930736</v>
      </c>
      <c r="E30" s="19">
        <f aca="true" t="shared" si="4" ref="E30:E35">E10/G10</f>
        <v>0</v>
      </c>
      <c r="F30" s="19">
        <f aca="true" t="shared" si="5" ref="F30:F35">F10/G10</f>
        <v>0</v>
      </c>
      <c r="G30" s="19">
        <f aca="true" t="shared" si="6" ref="G30:G35">B30+C30+D30+E30+F30</f>
        <v>1</v>
      </c>
    </row>
    <row r="31" spans="1:7" ht="12.75">
      <c r="A31" s="8" t="s">
        <v>4</v>
      </c>
      <c r="B31" s="19">
        <f t="shared" si="1"/>
        <v>0.683982683982684</v>
      </c>
      <c r="C31" s="19">
        <f t="shared" si="2"/>
        <v>0.26406926406926406</v>
      </c>
      <c r="D31" s="19">
        <f t="shared" si="3"/>
        <v>0.03463203463203463</v>
      </c>
      <c r="E31" s="19">
        <f t="shared" si="4"/>
        <v>0.017316017316017316</v>
      </c>
      <c r="F31" s="19">
        <f t="shared" si="5"/>
        <v>0</v>
      </c>
      <c r="G31" s="19">
        <f t="shared" si="6"/>
        <v>1</v>
      </c>
    </row>
    <row r="32" spans="1:7" ht="12.75">
      <c r="A32" s="8" t="s">
        <v>5</v>
      </c>
      <c r="B32" s="19">
        <f t="shared" si="1"/>
        <v>0.44155844155844154</v>
      </c>
      <c r="C32" s="19">
        <f t="shared" si="2"/>
        <v>0.4675324675324675</v>
      </c>
      <c r="D32" s="19">
        <f t="shared" si="3"/>
        <v>0.08658008658008658</v>
      </c>
      <c r="E32" s="19">
        <f t="shared" si="4"/>
        <v>0.004329004329004329</v>
      </c>
      <c r="F32" s="19">
        <f t="shared" si="5"/>
        <v>0</v>
      </c>
      <c r="G32" s="19">
        <f t="shared" si="6"/>
        <v>0.9999999999999999</v>
      </c>
    </row>
    <row r="33" spans="1:7" ht="12.75">
      <c r="A33" s="8" t="s">
        <v>6</v>
      </c>
      <c r="B33" s="19">
        <f t="shared" si="1"/>
        <v>0.46320346320346323</v>
      </c>
      <c r="C33" s="19">
        <f t="shared" si="2"/>
        <v>0.4329004329004329</v>
      </c>
      <c r="D33" s="19">
        <f t="shared" si="3"/>
        <v>0.09090909090909091</v>
      </c>
      <c r="E33" s="19">
        <f t="shared" si="4"/>
        <v>0.012987012987012988</v>
      </c>
      <c r="F33" s="19">
        <f t="shared" si="5"/>
        <v>0</v>
      </c>
      <c r="G33" s="19">
        <f t="shared" si="6"/>
        <v>1</v>
      </c>
    </row>
    <row r="34" spans="1:7" ht="12.75">
      <c r="A34" s="8" t="s">
        <v>7</v>
      </c>
      <c r="B34" s="19">
        <f t="shared" si="1"/>
        <v>0.4025974025974026</v>
      </c>
      <c r="C34" s="19">
        <f t="shared" si="2"/>
        <v>0.4935064935064935</v>
      </c>
      <c r="D34" s="19">
        <f t="shared" si="3"/>
        <v>0.09523809523809523</v>
      </c>
      <c r="E34" s="19">
        <f t="shared" si="4"/>
        <v>0.008658008658008658</v>
      </c>
      <c r="F34" s="19">
        <f t="shared" si="5"/>
        <v>0</v>
      </c>
      <c r="G34" s="19">
        <f t="shared" si="6"/>
        <v>1</v>
      </c>
    </row>
    <row r="35" spans="1:7" ht="12.75">
      <c r="A35" s="8" t="s">
        <v>8</v>
      </c>
      <c r="B35" s="19">
        <f t="shared" si="1"/>
        <v>0.6363636363636364</v>
      </c>
      <c r="C35" s="19">
        <f t="shared" si="2"/>
        <v>0.22943722943722944</v>
      </c>
      <c r="D35" s="19">
        <f t="shared" si="3"/>
        <v>0.12987012987012986</v>
      </c>
      <c r="E35" s="19">
        <f t="shared" si="4"/>
        <v>0.004329004329004329</v>
      </c>
      <c r="F35" s="19">
        <f t="shared" si="5"/>
        <v>0</v>
      </c>
      <c r="G35" s="19">
        <f t="shared" si="6"/>
        <v>1</v>
      </c>
    </row>
    <row r="38" spans="1:7" ht="12.75">
      <c r="A38" s="16" t="s">
        <v>9</v>
      </c>
      <c r="B38" s="16"/>
      <c r="C38" s="16"/>
      <c r="D38" s="16"/>
      <c r="E38" s="16"/>
      <c r="F38" s="16"/>
      <c r="G38" s="16"/>
    </row>
    <row r="39" spans="1:7" ht="25.5">
      <c r="A39" s="9" t="s">
        <v>1</v>
      </c>
      <c r="B39" s="9">
        <v>4</v>
      </c>
      <c r="C39" s="9">
        <v>3</v>
      </c>
      <c r="D39" s="9">
        <v>2</v>
      </c>
      <c r="E39" s="9">
        <v>1</v>
      </c>
      <c r="F39" s="10" t="s">
        <v>2</v>
      </c>
      <c r="G39" s="9" t="s">
        <v>22</v>
      </c>
    </row>
    <row r="40" spans="1:7" ht="12.75">
      <c r="A40" s="8" t="s">
        <v>10</v>
      </c>
      <c r="B40" s="19">
        <f>B20/G20</f>
        <v>0.5474137931034483</v>
      </c>
      <c r="C40" s="19">
        <f>C20/G20</f>
        <v>0.39655172413793105</v>
      </c>
      <c r="D40" s="19">
        <f>D20/G20</f>
        <v>0.05603448275862069</v>
      </c>
      <c r="E40" s="19">
        <f>E20/G20</f>
        <v>0</v>
      </c>
      <c r="F40" s="19">
        <f>F20/G20</f>
        <v>0</v>
      </c>
      <c r="G40" s="19">
        <f>B40+C40+D40+E40+F40</f>
        <v>1</v>
      </c>
    </row>
    <row r="41" spans="1:7" ht="12.75">
      <c r="A41" s="8" t="s">
        <v>11</v>
      </c>
      <c r="B41" s="19">
        <f>B21/G21</f>
        <v>0.22844827586206898</v>
      </c>
      <c r="C41" s="19">
        <f>C21/G21</f>
        <v>0.09051724137931035</v>
      </c>
      <c r="D41" s="19">
        <f>D21/G21</f>
        <v>0.021551724137931036</v>
      </c>
      <c r="E41" s="19">
        <f>E21/G21</f>
        <v>0</v>
      </c>
      <c r="F41" s="19">
        <f>F21/G21</f>
        <v>0.6594827586206896</v>
      </c>
      <c r="G41" s="19">
        <f>B41+C41+D41+E41+F41</f>
        <v>1</v>
      </c>
    </row>
    <row r="42" spans="1:7" ht="12.75">
      <c r="A42" s="8" t="s">
        <v>12</v>
      </c>
      <c r="B42" s="19">
        <f>B22/G22</f>
        <v>0.5670995670995671</v>
      </c>
      <c r="C42" s="19">
        <f>C22/G22</f>
        <v>0.36363636363636365</v>
      </c>
      <c r="D42" s="19">
        <f>D22/G22</f>
        <v>0.03896103896103896</v>
      </c>
      <c r="E42" s="19">
        <f>E22/G22</f>
        <v>0.025974025974025976</v>
      </c>
      <c r="F42" s="19">
        <f>F22/G22</f>
        <v>0.004329004329004329</v>
      </c>
      <c r="G42" s="19">
        <f>B42+C42+D42+E42+F42</f>
        <v>1</v>
      </c>
    </row>
    <row r="43" spans="1:7" ht="12.75">
      <c r="A43" s="8" t="s">
        <v>13</v>
      </c>
      <c r="B43" s="19">
        <f>B23/G23</f>
        <v>0.4675324675324675</v>
      </c>
      <c r="C43" s="19">
        <f>C23/G23</f>
        <v>0.47186147186147187</v>
      </c>
      <c r="D43" s="19">
        <f>D23/G23</f>
        <v>0.05627705627705628</v>
      </c>
      <c r="E43" s="19">
        <f>E23/G23</f>
        <v>0.004329004329004329</v>
      </c>
      <c r="F43" s="19">
        <f>F23/G23</f>
        <v>0</v>
      </c>
      <c r="G43" s="19">
        <f>B43+C43+D43+E43+F43</f>
        <v>1</v>
      </c>
    </row>
    <row r="44" spans="1:7" ht="12.75">
      <c r="A44" s="8" t="s">
        <v>14</v>
      </c>
      <c r="B44" s="19">
        <f>B24/G24</f>
        <v>0.5411255411255411</v>
      </c>
      <c r="C44" s="19">
        <f>C24/G24</f>
        <v>0.41125541125541126</v>
      </c>
      <c r="D44" s="19">
        <f>D24/G24</f>
        <v>0.04329004329004329</v>
      </c>
      <c r="E44" s="19">
        <f>E24/G24</f>
        <v>0.004329004329004329</v>
      </c>
      <c r="F44" s="19">
        <f>F24/G24</f>
        <v>0</v>
      </c>
      <c r="G44" s="19">
        <f>B44+C44+D44+E44+F44</f>
        <v>0.9999999999999999</v>
      </c>
    </row>
    <row r="46" ht="12.75">
      <c r="A46" s="11" t="s">
        <v>34</v>
      </c>
    </row>
    <row r="47" ht="12.75">
      <c r="A47" s="12" t="s">
        <v>35</v>
      </c>
    </row>
  </sheetData>
  <sheetProtection/>
  <mergeCells count="4">
    <mergeCell ref="A8:G8"/>
    <mergeCell ref="A18:G18"/>
    <mergeCell ref="A28:G28"/>
    <mergeCell ref="A38:G38"/>
  </mergeCell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6">
      <selection activeCell="B40" sqref="B40:G44"/>
    </sheetView>
  </sheetViews>
  <sheetFormatPr defaultColWidth="9.140625" defaultRowHeight="12.75"/>
  <cols>
    <col min="1" max="1" width="36.421875" style="8" bestFit="1" customWidth="1"/>
    <col min="2" max="2" width="10.421875" style="8" bestFit="1" customWidth="1"/>
    <col min="3" max="5" width="9.421875" style="8" bestFit="1" customWidth="1"/>
    <col min="6" max="6" width="11.7109375" style="8" customWidth="1"/>
    <col min="7" max="7" width="10.28125" style="8" bestFit="1" customWidth="1"/>
    <col min="8" max="16384" width="9.140625" style="8" customWidth="1"/>
  </cols>
  <sheetData>
    <row r="1" ht="23.25">
      <c r="A1" s="15" t="s">
        <v>21</v>
      </c>
    </row>
    <row r="2" ht="20.25">
      <c r="A2" s="14" t="s">
        <v>24</v>
      </c>
    </row>
    <row r="3" ht="12.75">
      <c r="A3" s="7"/>
    </row>
    <row r="4" spans="1:3" ht="12.75">
      <c r="A4" s="7" t="s">
        <v>25</v>
      </c>
      <c r="B4" s="7">
        <v>13</v>
      </c>
      <c r="C4" s="8" t="s">
        <v>26</v>
      </c>
    </row>
    <row r="5" spans="1:3" ht="12.75">
      <c r="A5" s="7" t="s">
        <v>16</v>
      </c>
      <c r="B5" s="7">
        <f>9+11+18+19+24+23+9+28+20+29+20+1+1</f>
        <v>212</v>
      </c>
      <c r="C5" s="7" t="s">
        <v>27</v>
      </c>
    </row>
    <row r="7" ht="15.75">
      <c r="A7" s="13" t="s">
        <v>23</v>
      </c>
    </row>
    <row r="8" spans="1:7" ht="12.75">
      <c r="A8" s="16" t="s">
        <v>0</v>
      </c>
      <c r="B8" s="16"/>
      <c r="C8" s="16"/>
      <c r="D8" s="16"/>
      <c r="E8" s="16"/>
      <c r="F8" s="16"/>
      <c r="G8" s="16"/>
    </row>
    <row r="9" spans="1:7" ht="25.5">
      <c r="A9" s="9" t="s">
        <v>1</v>
      </c>
      <c r="B9" s="9">
        <v>4</v>
      </c>
      <c r="C9" s="9">
        <v>3</v>
      </c>
      <c r="D9" s="9">
        <v>2</v>
      </c>
      <c r="E9" s="9">
        <v>1</v>
      </c>
      <c r="F9" s="10" t="s">
        <v>2</v>
      </c>
      <c r="G9" s="9" t="s">
        <v>22</v>
      </c>
    </row>
    <row r="10" spans="1:7" ht="12.75">
      <c r="A10" s="8" t="s">
        <v>3</v>
      </c>
      <c r="B10" s="18">
        <f>4+6+10+5+20+14+9+5+19+10+6+1+1</f>
        <v>110</v>
      </c>
      <c r="C10" s="18">
        <f>4+5+4+9+4+5+0+18+1+7+10+0+0</f>
        <v>67</v>
      </c>
      <c r="D10" s="18">
        <f>1+0+4+4+0+4+0+5+0+12+4+0+0</f>
        <v>34</v>
      </c>
      <c r="E10" s="18">
        <f>1</f>
        <v>1</v>
      </c>
      <c r="F10" s="18">
        <v>0</v>
      </c>
      <c r="G10" s="18">
        <f aca="true" t="shared" si="0" ref="G10:G15">B10+C10+D10+E10+F10</f>
        <v>212</v>
      </c>
    </row>
    <row r="11" spans="1:7" ht="12.75">
      <c r="A11" s="8" t="s">
        <v>4</v>
      </c>
      <c r="B11" s="18">
        <f>4+8+9+6+16+12+8+10+15+10+9+1+1</f>
        <v>109</v>
      </c>
      <c r="C11" s="18">
        <f>5+3+9+10+4+6+1+16+5+12+8+0+0</f>
        <v>79</v>
      </c>
      <c r="D11" s="18">
        <f>0+0+0+1+4+4+0+2+0+7+2+0+0</f>
        <v>20</v>
      </c>
      <c r="E11" s="18">
        <f>2+1+1</f>
        <v>4</v>
      </c>
      <c r="F11" s="18">
        <v>0</v>
      </c>
      <c r="G11" s="18">
        <f t="shared" si="0"/>
        <v>212</v>
      </c>
    </row>
    <row r="12" spans="1:7" ht="12.75">
      <c r="A12" s="8" t="s">
        <v>5</v>
      </c>
      <c r="B12" s="18">
        <f>4+3+11+5+16+8+7+5+15+10+1+0+1</f>
        <v>86</v>
      </c>
      <c r="C12" s="18">
        <f>4+6+4+8+4+11+1+14+4+6+14+0+0</f>
        <v>76</v>
      </c>
      <c r="D12" s="18">
        <f>1+2+2+4+4+4+1+9+1+13+3+1+0</f>
        <v>45</v>
      </c>
      <c r="E12" s="18">
        <f>0+0+1+2+0+0+0+0+0+0+2+0+0</f>
        <v>5</v>
      </c>
      <c r="F12" s="18">
        <v>0</v>
      </c>
      <c r="G12" s="18">
        <f t="shared" si="0"/>
        <v>212</v>
      </c>
    </row>
    <row r="13" spans="1:8" ht="12.75">
      <c r="A13" s="8" t="s">
        <v>6</v>
      </c>
      <c r="B13" s="18">
        <f>4+2+6+4+14+8+7+5+13+7+5+0+0</f>
        <v>75</v>
      </c>
      <c r="C13" s="18">
        <f>0+5+9+8+2+7+1+6+7+9+9+0+1</f>
        <v>64</v>
      </c>
      <c r="D13" s="18">
        <f>5+4+3+7+2+8+1+17+0+11+5+1+0</f>
        <v>64</v>
      </c>
      <c r="E13" s="18">
        <f>0+0+0+0+4+0+0+0+0+2+1+0+0</f>
        <v>7</v>
      </c>
      <c r="F13" s="18">
        <v>0</v>
      </c>
      <c r="G13" s="18">
        <f t="shared" si="0"/>
        <v>210</v>
      </c>
      <c r="H13" s="8" t="s">
        <v>28</v>
      </c>
    </row>
    <row r="14" spans="1:8" ht="12.75">
      <c r="A14" s="8" t="s">
        <v>7</v>
      </c>
      <c r="B14" s="18">
        <f>4+2+6+2+14+11+7+6+11+8+0+0+0</f>
        <v>71</v>
      </c>
      <c r="C14" s="18">
        <f>0+2+7+7+2+10+1+11+8+6+13+1+1</f>
        <v>69</v>
      </c>
      <c r="D14" s="18">
        <f>1+4+4+4+2+2+1+11+1+12+6+0+0</f>
        <v>48</v>
      </c>
      <c r="E14" s="18">
        <f>4+2+0+6+4+0+0+0+0+3+1+0+0</f>
        <v>20</v>
      </c>
      <c r="F14" s="18">
        <v>0</v>
      </c>
      <c r="G14" s="18">
        <f t="shared" si="0"/>
        <v>208</v>
      </c>
      <c r="H14" s="8" t="s">
        <v>29</v>
      </c>
    </row>
    <row r="15" spans="1:7" ht="12.75">
      <c r="A15" s="8" t="s">
        <v>8</v>
      </c>
      <c r="B15" s="18">
        <f>4+3+10+6+20+10+8+10+16+9+4+0+1</f>
        <v>101</v>
      </c>
      <c r="C15" s="18">
        <f>4+6+8+11+4+12+1+16+4+8+12+1+0</f>
        <v>87</v>
      </c>
      <c r="D15" s="18">
        <f>1+1+0+1+0+1+0+2+0+10+3+0+0</f>
        <v>19</v>
      </c>
      <c r="E15" s="18">
        <f>0+1+0+1+0+0+0+0+0+2+1+0+0</f>
        <v>5</v>
      </c>
      <c r="F15" s="18">
        <v>0</v>
      </c>
      <c r="G15" s="18">
        <f t="shared" si="0"/>
        <v>212</v>
      </c>
    </row>
    <row r="18" spans="1:7" ht="12.75">
      <c r="A18" s="16" t="s">
        <v>9</v>
      </c>
      <c r="B18" s="16"/>
      <c r="C18" s="16"/>
      <c r="D18" s="16"/>
      <c r="E18" s="16"/>
      <c r="F18" s="16"/>
      <c r="G18" s="16"/>
    </row>
    <row r="19" spans="1:7" ht="25.5">
      <c r="A19" s="9" t="s">
        <v>1</v>
      </c>
      <c r="B19" s="9">
        <v>4</v>
      </c>
      <c r="C19" s="9">
        <v>3</v>
      </c>
      <c r="D19" s="9">
        <v>2</v>
      </c>
      <c r="E19" s="9">
        <v>1</v>
      </c>
      <c r="F19" s="10" t="s">
        <v>2</v>
      </c>
      <c r="G19" s="9" t="s">
        <v>22</v>
      </c>
    </row>
    <row r="20" spans="1:7" ht="12.75">
      <c r="A20" s="8" t="s">
        <v>10</v>
      </c>
      <c r="B20" s="18">
        <f>8+8+8+4+16+16+8+24+9+6+4+1+1</f>
        <v>113</v>
      </c>
      <c r="C20" s="18">
        <f>1+3+8+9+4+6+1+3+11+16+7+0+0</f>
        <v>69</v>
      </c>
      <c r="D20" s="18">
        <f>0+0+2+6+4+1+0+1+0+6+9+0+0</f>
        <v>29</v>
      </c>
      <c r="E20" s="18">
        <f>1</f>
        <v>1</v>
      </c>
      <c r="F20" s="18">
        <v>0</v>
      </c>
      <c r="G20" s="18">
        <f>B20+C20+D20+E20+F20</f>
        <v>212</v>
      </c>
    </row>
    <row r="21" spans="1:7" ht="12.75">
      <c r="A21" s="8" t="s">
        <v>11</v>
      </c>
      <c r="B21" s="18">
        <f>4+2+0+0+7+0+0+5+0+1+0+1</f>
        <v>20</v>
      </c>
      <c r="C21" s="18">
        <f>4+0+0+0+0+5+3+0+13+0+7+0+0</f>
        <v>32</v>
      </c>
      <c r="D21" s="18">
        <f>1+0+0+0+0+3+2+0+2+0+6+0+0</f>
        <v>14</v>
      </c>
      <c r="E21" s="18">
        <f>0+0+0+0+0+1+0+0+0+0+1+0+0</f>
        <v>2</v>
      </c>
      <c r="F21" s="18">
        <f>0+11+16+19+24+7+4+28+0+29+5+1+0</f>
        <v>144</v>
      </c>
      <c r="G21" s="18">
        <f>B21+C21+D21+E21+F21</f>
        <v>212</v>
      </c>
    </row>
    <row r="22" spans="1:7" ht="12.75">
      <c r="A22" s="8" t="s">
        <v>12</v>
      </c>
      <c r="B22" s="18">
        <f>4+3+8+5+24+14+7+4+6+5+6+0+1</f>
        <v>87</v>
      </c>
      <c r="C22" s="18">
        <f>5+1+4+5+0+5+2+11+10+14+6+1+0</f>
        <v>64</v>
      </c>
      <c r="D22" s="18">
        <f>0+1+5+2+0+4+0+12+4+6+5+0+0</f>
        <v>39</v>
      </c>
      <c r="E22" s="18">
        <f>0+6+1+3+0+0+0+1+0+4+2+0+0</f>
        <v>17</v>
      </c>
      <c r="F22" s="18">
        <f>4+1</f>
        <v>5</v>
      </c>
      <c r="G22" s="18">
        <f>B22+C22+D22+E22+F22</f>
        <v>212</v>
      </c>
    </row>
    <row r="23" spans="1:7" ht="12.75">
      <c r="A23" s="8" t="s">
        <v>13</v>
      </c>
      <c r="B23" s="18">
        <f>4+2+8+6+16+7+4+15+10+10+7+0+0</f>
        <v>89</v>
      </c>
      <c r="C23" s="18">
        <f>4+8+7+10+4+12+4+13+9+6+11+0+1</f>
        <v>89</v>
      </c>
      <c r="D23" s="18">
        <f>1+1+2+2+4+4+1+0+1+13+2+1+0</f>
        <v>32</v>
      </c>
      <c r="E23" s="18">
        <f>0+0+1+1+0+0+0+0+0+0+0+0+0</f>
        <v>2</v>
      </c>
      <c r="F23" s="18">
        <v>0</v>
      </c>
      <c r="G23" s="18">
        <f>B23+C23+D23+E23+F23</f>
        <v>212</v>
      </c>
    </row>
    <row r="24" spans="1:8" ht="12.75">
      <c r="A24" s="8" t="s">
        <v>14</v>
      </c>
      <c r="B24" s="18">
        <f>8+3+9+6+16+9+7+17+10+7+2+0+0</f>
        <v>94</v>
      </c>
      <c r="C24" s="18">
        <f>1+6+7+10+4+13+2+11+8+9+14+1+1</f>
        <v>87</v>
      </c>
      <c r="D24" s="18">
        <f>0+1+1+2+4+1+0+0+2+9+4+0+0</f>
        <v>24</v>
      </c>
      <c r="E24" s="18">
        <f>0+0+1+1+0+0+0+0+0+4+0+0+0</f>
        <v>6</v>
      </c>
      <c r="F24" s="18">
        <v>0</v>
      </c>
      <c r="G24" s="18">
        <f>B24+C24+D24+E24+F24</f>
        <v>211</v>
      </c>
      <c r="H24" s="8" t="s">
        <v>30</v>
      </c>
    </row>
    <row r="27" ht="12.75">
      <c r="A27" s="7" t="s">
        <v>19</v>
      </c>
    </row>
    <row r="28" spans="1:7" ht="12.75">
      <c r="A28" s="16" t="s">
        <v>0</v>
      </c>
      <c r="B28" s="16"/>
      <c r="C28" s="16"/>
      <c r="D28" s="16"/>
      <c r="E28" s="16"/>
      <c r="F28" s="16"/>
      <c r="G28" s="16"/>
    </row>
    <row r="29" spans="1:7" ht="25.5">
      <c r="A29" s="9" t="s">
        <v>1</v>
      </c>
      <c r="B29" s="9">
        <v>4</v>
      </c>
      <c r="C29" s="9">
        <v>3</v>
      </c>
      <c r="D29" s="9">
        <v>2</v>
      </c>
      <c r="E29" s="9">
        <v>1</v>
      </c>
      <c r="F29" s="10" t="s">
        <v>2</v>
      </c>
      <c r="G29" s="9" t="s">
        <v>22</v>
      </c>
    </row>
    <row r="30" spans="1:7" ht="12.75">
      <c r="A30" s="8" t="s">
        <v>3</v>
      </c>
      <c r="B30" s="19">
        <f aca="true" t="shared" si="1" ref="B30:B35">B10/G10</f>
        <v>0.5188679245283019</v>
      </c>
      <c r="C30" s="19">
        <f aca="true" t="shared" si="2" ref="C30:C35">C10/G10</f>
        <v>0.3160377358490566</v>
      </c>
      <c r="D30" s="19">
        <f aca="true" t="shared" si="3" ref="D30:D35">D10/G10</f>
        <v>0.16037735849056603</v>
      </c>
      <c r="E30" s="19">
        <f aca="true" t="shared" si="4" ref="E30:E35">E10/G10</f>
        <v>0.0047169811320754715</v>
      </c>
      <c r="F30" s="19">
        <f aca="true" t="shared" si="5" ref="F30:F35">F10/G10</f>
        <v>0</v>
      </c>
      <c r="G30" s="19">
        <f aca="true" t="shared" si="6" ref="G30:G35">B30+C30+D30+E30+F30</f>
        <v>1</v>
      </c>
    </row>
    <row r="31" spans="1:7" ht="12.75">
      <c r="A31" s="8" t="s">
        <v>4</v>
      </c>
      <c r="B31" s="19">
        <f t="shared" si="1"/>
        <v>0.5141509433962265</v>
      </c>
      <c r="C31" s="19">
        <f t="shared" si="2"/>
        <v>0.37264150943396224</v>
      </c>
      <c r="D31" s="19">
        <f t="shared" si="3"/>
        <v>0.09433962264150944</v>
      </c>
      <c r="E31" s="19">
        <f t="shared" si="4"/>
        <v>0.018867924528301886</v>
      </c>
      <c r="F31" s="19">
        <f t="shared" si="5"/>
        <v>0</v>
      </c>
      <c r="G31" s="19">
        <f t="shared" si="6"/>
        <v>1</v>
      </c>
    </row>
    <row r="32" spans="1:7" ht="12.75">
      <c r="A32" s="8" t="s">
        <v>5</v>
      </c>
      <c r="B32" s="19">
        <f t="shared" si="1"/>
        <v>0.4056603773584906</v>
      </c>
      <c r="C32" s="19">
        <f t="shared" si="2"/>
        <v>0.3584905660377358</v>
      </c>
      <c r="D32" s="19">
        <f t="shared" si="3"/>
        <v>0.21226415094339623</v>
      </c>
      <c r="E32" s="19">
        <f t="shared" si="4"/>
        <v>0.02358490566037736</v>
      </c>
      <c r="F32" s="19">
        <f t="shared" si="5"/>
        <v>0</v>
      </c>
      <c r="G32" s="19">
        <f t="shared" si="6"/>
        <v>1</v>
      </c>
    </row>
    <row r="33" spans="1:7" ht="12.75">
      <c r="A33" s="8" t="s">
        <v>6</v>
      </c>
      <c r="B33" s="19">
        <f t="shared" si="1"/>
        <v>0.35714285714285715</v>
      </c>
      <c r="C33" s="19">
        <f t="shared" si="2"/>
        <v>0.3047619047619048</v>
      </c>
      <c r="D33" s="19">
        <f t="shared" si="3"/>
        <v>0.3047619047619048</v>
      </c>
      <c r="E33" s="19">
        <f t="shared" si="4"/>
        <v>0.03333333333333333</v>
      </c>
      <c r="F33" s="19">
        <f t="shared" si="5"/>
        <v>0</v>
      </c>
      <c r="G33" s="19">
        <f t="shared" si="6"/>
        <v>1.0000000000000002</v>
      </c>
    </row>
    <row r="34" spans="1:7" ht="12.75">
      <c r="A34" s="8" t="s">
        <v>7</v>
      </c>
      <c r="B34" s="19">
        <f t="shared" si="1"/>
        <v>0.34134615384615385</v>
      </c>
      <c r="C34" s="19">
        <f t="shared" si="2"/>
        <v>0.3317307692307692</v>
      </c>
      <c r="D34" s="19">
        <f t="shared" si="3"/>
        <v>0.23076923076923078</v>
      </c>
      <c r="E34" s="19">
        <f t="shared" si="4"/>
        <v>0.09615384615384616</v>
      </c>
      <c r="F34" s="19">
        <f t="shared" si="5"/>
        <v>0</v>
      </c>
      <c r="G34" s="19">
        <f t="shared" si="6"/>
        <v>1.0000000000000002</v>
      </c>
    </row>
    <row r="35" spans="1:7" ht="12.75">
      <c r="A35" s="8" t="s">
        <v>8</v>
      </c>
      <c r="B35" s="19">
        <f t="shared" si="1"/>
        <v>0.47641509433962265</v>
      </c>
      <c r="C35" s="19">
        <f t="shared" si="2"/>
        <v>0.41037735849056606</v>
      </c>
      <c r="D35" s="19">
        <f t="shared" si="3"/>
        <v>0.08962264150943396</v>
      </c>
      <c r="E35" s="19">
        <f t="shared" si="4"/>
        <v>0.02358490566037736</v>
      </c>
      <c r="F35" s="19">
        <f t="shared" si="5"/>
        <v>0</v>
      </c>
      <c r="G35" s="19">
        <f t="shared" si="6"/>
        <v>1</v>
      </c>
    </row>
    <row r="38" spans="1:7" ht="12.75">
      <c r="A38" s="16" t="s">
        <v>9</v>
      </c>
      <c r="B38" s="16"/>
      <c r="C38" s="16"/>
      <c r="D38" s="16"/>
      <c r="E38" s="16"/>
      <c r="F38" s="16"/>
      <c r="G38" s="16"/>
    </row>
    <row r="39" spans="1:7" ht="25.5">
      <c r="A39" s="9" t="s">
        <v>1</v>
      </c>
      <c r="B39" s="9">
        <v>4</v>
      </c>
      <c r="C39" s="9">
        <v>3</v>
      </c>
      <c r="D39" s="9">
        <v>2</v>
      </c>
      <c r="E39" s="9">
        <v>1</v>
      </c>
      <c r="F39" s="10" t="s">
        <v>2</v>
      </c>
      <c r="G39" s="9" t="s">
        <v>22</v>
      </c>
    </row>
    <row r="40" spans="1:7" ht="12.75">
      <c r="A40" s="8" t="s">
        <v>10</v>
      </c>
      <c r="B40" s="19">
        <f>B20/G20</f>
        <v>0.5330188679245284</v>
      </c>
      <c r="C40" s="19">
        <f>C20/G20</f>
        <v>0.32547169811320753</v>
      </c>
      <c r="D40" s="19">
        <f>D20/G20</f>
        <v>0.13679245283018868</v>
      </c>
      <c r="E40" s="19">
        <f>E20/G20</f>
        <v>0.0047169811320754715</v>
      </c>
      <c r="F40" s="19">
        <f>F20/G20</f>
        <v>0</v>
      </c>
      <c r="G40" s="19">
        <f>B40+C40+D40+E40+F40</f>
        <v>1</v>
      </c>
    </row>
    <row r="41" spans="1:7" ht="12.75">
      <c r="A41" s="8" t="s">
        <v>11</v>
      </c>
      <c r="B41" s="19">
        <f>B21/G21</f>
        <v>0.09433962264150944</v>
      </c>
      <c r="C41" s="19">
        <f>C21/G21</f>
        <v>0.1509433962264151</v>
      </c>
      <c r="D41" s="19">
        <f>D21/G21</f>
        <v>0.0660377358490566</v>
      </c>
      <c r="E41" s="19">
        <f>E21/G21</f>
        <v>0.009433962264150943</v>
      </c>
      <c r="F41" s="19">
        <f>F21/G21</f>
        <v>0.6792452830188679</v>
      </c>
      <c r="G41" s="19">
        <f>B41+C41+D41+E41+F41</f>
        <v>1</v>
      </c>
    </row>
    <row r="42" spans="1:7" ht="12.75">
      <c r="A42" s="8" t="s">
        <v>12</v>
      </c>
      <c r="B42" s="19">
        <f>B22/G22</f>
        <v>0.41037735849056606</v>
      </c>
      <c r="C42" s="19">
        <f>C22/G22</f>
        <v>0.3018867924528302</v>
      </c>
      <c r="D42" s="19">
        <f>D22/G22</f>
        <v>0.18396226415094338</v>
      </c>
      <c r="E42" s="19">
        <f>E22/G22</f>
        <v>0.08018867924528301</v>
      </c>
      <c r="F42" s="19">
        <f>F22/G22</f>
        <v>0.02358490566037736</v>
      </c>
      <c r="G42" s="19">
        <f>B42+C42+D42+E42+F42</f>
        <v>1</v>
      </c>
    </row>
    <row r="43" spans="1:7" ht="12.75">
      <c r="A43" s="8" t="s">
        <v>13</v>
      </c>
      <c r="B43" s="19">
        <f>B23/G23</f>
        <v>0.419811320754717</v>
      </c>
      <c r="C43" s="19">
        <f>C23/G23</f>
        <v>0.419811320754717</v>
      </c>
      <c r="D43" s="19">
        <f>D23/G23</f>
        <v>0.1509433962264151</v>
      </c>
      <c r="E43" s="19">
        <f>E23/G23</f>
        <v>0.009433962264150943</v>
      </c>
      <c r="F43" s="19">
        <f>F23/G23</f>
        <v>0</v>
      </c>
      <c r="G43" s="19">
        <f>B43+C43+D43+E43+F43</f>
        <v>1</v>
      </c>
    </row>
    <row r="44" spans="1:7" ht="12.75">
      <c r="A44" s="8" t="s">
        <v>14</v>
      </c>
      <c r="B44" s="19">
        <f>B24/G24</f>
        <v>0.44549763033175355</v>
      </c>
      <c r="C44" s="19">
        <f>C24/G24</f>
        <v>0.41232227488151657</v>
      </c>
      <c r="D44" s="19">
        <f>D24/G24</f>
        <v>0.11374407582938388</v>
      </c>
      <c r="E44" s="19">
        <f>E24/G24</f>
        <v>0.02843601895734597</v>
      </c>
      <c r="F44" s="19">
        <f>F24/G24</f>
        <v>0</v>
      </c>
      <c r="G44" s="19">
        <f>B44+C44+D44+E44+F44</f>
        <v>0.9999999999999999</v>
      </c>
    </row>
    <row r="46" ht="12.75">
      <c r="A46" s="11" t="s">
        <v>31</v>
      </c>
    </row>
    <row r="47" ht="12.75">
      <c r="A47" s="12" t="s">
        <v>32</v>
      </c>
    </row>
  </sheetData>
  <sheetProtection/>
  <mergeCells count="4">
    <mergeCell ref="A8:G8"/>
    <mergeCell ref="A18:G18"/>
    <mergeCell ref="A28:G28"/>
    <mergeCell ref="A38:G38"/>
  </mergeCell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4">
      <selection activeCell="B49" sqref="B49"/>
    </sheetView>
  </sheetViews>
  <sheetFormatPr defaultColWidth="9.140625" defaultRowHeight="12.75"/>
  <cols>
    <col min="1" max="1" width="36.421875" style="0" bestFit="1" customWidth="1"/>
    <col min="2" max="2" width="10.421875" style="0" bestFit="1" customWidth="1"/>
    <col min="3" max="5" width="9.421875" style="0" bestFit="1" customWidth="1"/>
    <col min="6" max="6" width="11.7109375" style="0" customWidth="1"/>
    <col min="7" max="7" width="10.28125" style="0" bestFit="1" customWidth="1"/>
  </cols>
  <sheetData>
    <row r="1" ht="23.25">
      <c r="A1" s="5" t="s">
        <v>21</v>
      </c>
    </row>
    <row r="2" ht="20.25">
      <c r="A2" s="6" t="s">
        <v>20</v>
      </c>
    </row>
    <row r="3" ht="12.75">
      <c r="A3" s="3"/>
    </row>
    <row r="4" spans="1:2" ht="12.75">
      <c r="A4" s="3" t="s">
        <v>15</v>
      </c>
      <c r="B4" s="3">
        <v>11</v>
      </c>
    </row>
    <row r="5" spans="1:2" ht="12.75">
      <c r="A5" s="3" t="s">
        <v>16</v>
      </c>
      <c r="B5" s="3">
        <f>5+22+25+11+8+22+8+6+14+52+9</f>
        <v>182</v>
      </c>
    </row>
    <row r="7" ht="15.75">
      <c r="A7" s="4" t="s">
        <v>23</v>
      </c>
    </row>
    <row r="8" spans="1:7" ht="12.75">
      <c r="A8" s="17" t="s">
        <v>0</v>
      </c>
      <c r="B8" s="17"/>
      <c r="C8" s="17"/>
      <c r="D8" s="17"/>
      <c r="E8" s="17"/>
      <c r="F8" s="17"/>
      <c r="G8" s="17"/>
    </row>
    <row r="9" spans="1:7" ht="25.5">
      <c r="A9" s="1" t="s">
        <v>1</v>
      </c>
      <c r="B9" s="1">
        <v>4</v>
      </c>
      <c r="C9" s="1">
        <v>3</v>
      </c>
      <c r="D9" s="1">
        <v>2</v>
      </c>
      <c r="E9" s="1">
        <v>1</v>
      </c>
      <c r="F9" s="2" t="s">
        <v>2</v>
      </c>
      <c r="G9" s="1" t="s">
        <v>22</v>
      </c>
    </row>
    <row r="10" spans="1:7" ht="12.75">
      <c r="A10" t="s">
        <v>3</v>
      </c>
      <c r="B10" s="20">
        <f>0+8+15+3+0+17+4+6+12+10+6</f>
        <v>81</v>
      </c>
      <c r="C10" s="20">
        <f>4+7+9+3+7+4+2+0+2+39+2</f>
        <v>79</v>
      </c>
      <c r="D10" s="20">
        <f>1+7+0+4+1+0+2+0+0+3+1</f>
        <v>19</v>
      </c>
      <c r="E10" s="20">
        <v>2</v>
      </c>
      <c r="F10" s="20">
        <v>1</v>
      </c>
      <c r="G10" s="20">
        <f aca="true" t="shared" si="0" ref="G10:G15">B10+C10+D10+E10+F10</f>
        <v>182</v>
      </c>
    </row>
    <row r="11" spans="1:7" ht="12.75">
      <c r="A11" t="s">
        <v>4</v>
      </c>
      <c r="B11" s="20">
        <f>3+8+24+3+2+11+3+3+12+48+6</f>
        <v>123</v>
      </c>
      <c r="C11" s="20">
        <f>2+8+0+2+6+10+5+3+2+4+2</f>
        <v>44</v>
      </c>
      <c r="D11" s="20">
        <f>6+5+1+1</f>
        <v>13</v>
      </c>
      <c r="E11" s="20">
        <v>1</v>
      </c>
      <c r="F11" s="20">
        <v>1</v>
      </c>
      <c r="G11" s="20">
        <f t="shared" si="0"/>
        <v>182</v>
      </c>
    </row>
    <row r="12" spans="1:8" ht="12.75">
      <c r="A12" t="s">
        <v>5</v>
      </c>
      <c r="B12" s="20">
        <f>2+5+10+3+0+8+7+4+5+11+5</f>
        <v>60</v>
      </c>
      <c r="C12" s="20">
        <f>3+9+7+2+6+11+1+1+7+40+0</f>
        <v>87</v>
      </c>
      <c r="D12" s="20">
        <f>1+2+1+0+2+2+5+7+8+0+4</f>
        <v>32</v>
      </c>
      <c r="E12" s="20">
        <f>0+0+0+2+0+1+0+0+0+0</f>
        <v>3</v>
      </c>
      <c r="F12" s="20">
        <v>1</v>
      </c>
      <c r="G12" s="20">
        <f t="shared" si="0"/>
        <v>183</v>
      </c>
      <c r="H12" t="s">
        <v>18</v>
      </c>
    </row>
    <row r="13" spans="1:7" ht="12.75">
      <c r="A13" t="s">
        <v>6</v>
      </c>
      <c r="B13" s="20">
        <f>1+5+18+2+0+6+2+4+5+10+4</f>
        <v>57</v>
      </c>
      <c r="C13" s="20">
        <f>37+6+2+5+9+7+3+6+9+3+4</f>
        <v>91</v>
      </c>
      <c r="D13" s="20">
        <f>1+8+0+3+1+7+1+0+3+5+1</f>
        <v>30</v>
      </c>
      <c r="E13" s="20">
        <v>3</v>
      </c>
      <c r="F13" s="20">
        <v>1</v>
      </c>
      <c r="G13" s="20">
        <f t="shared" si="0"/>
        <v>182</v>
      </c>
    </row>
    <row r="14" spans="1:8" ht="12.75">
      <c r="A14" t="s">
        <v>7</v>
      </c>
      <c r="B14" s="20">
        <f>0+5+15+5+0+5+3+4+4+29+5</f>
        <v>75</v>
      </c>
      <c r="C14" s="20">
        <f>23+6+4+4+8+5+3+6+8+4+4</f>
        <v>75</v>
      </c>
      <c r="D14" s="20">
        <f>1+9+3+2+3+9+1+0+4+0</f>
        <v>32</v>
      </c>
      <c r="E14" s="20">
        <v>1</v>
      </c>
      <c r="F14" s="20">
        <v>1</v>
      </c>
      <c r="G14" s="20">
        <f t="shared" si="0"/>
        <v>184</v>
      </c>
      <c r="H14" t="s">
        <v>17</v>
      </c>
    </row>
    <row r="15" spans="1:7" ht="12.75">
      <c r="A15" t="s">
        <v>8</v>
      </c>
      <c r="B15" s="20">
        <f>1+6+14+3+2+7+5+6+4+49+3</f>
        <v>100</v>
      </c>
      <c r="C15" s="20">
        <f>3+9+0+3+12+6+3+8+8+3+4</f>
        <v>59</v>
      </c>
      <c r="D15" s="20">
        <f>1+8+2+4+0+3+0+0+1+0+2</f>
        <v>21</v>
      </c>
      <c r="E15" s="20">
        <v>1</v>
      </c>
      <c r="F15" s="20">
        <v>1</v>
      </c>
      <c r="G15" s="20">
        <f t="shared" si="0"/>
        <v>182</v>
      </c>
    </row>
    <row r="18" spans="1:7" ht="12.75">
      <c r="A18" s="17" t="s">
        <v>9</v>
      </c>
      <c r="B18" s="17"/>
      <c r="C18" s="17"/>
      <c r="D18" s="17"/>
      <c r="E18" s="17"/>
      <c r="F18" s="17"/>
      <c r="G18" s="17"/>
    </row>
    <row r="19" spans="1:7" ht="25.5">
      <c r="A19" s="1" t="s">
        <v>1</v>
      </c>
      <c r="B19" s="1">
        <v>4</v>
      </c>
      <c r="C19" s="1">
        <v>3</v>
      </c>
      <c r="D19" s="1">
        <v>2</v>
      </c>
      <c r="E19" s="1">
        <v>1</v>
      </c>
      <c r="F19" s="2" t="s">
        <v>2</v>
      </c>
      <c r="G19" s="1" t="s">
        <v>22</v>
      </c>
    </row>
    <row r="20" spans="1:7" ht="12.75">
      <c r="A20" t="s">
        <v>10</v>
      </c>
      <c r="B20" s="20">
        <f>2+6+20+9+2+13+8+3+12+51+7</f>
        <v>133</v>
      </c>
      <c r="C20" s="20">
        <f>1+0+3+0+5+6+1+4+8+1+1</f>
        <v>30</v>
      </c>
      <c r="D20" s="20">
        <f>2+8+0+1+0+3+0+0+2+0+1</f>
        <v>17</v>
      </c>
      <c r="E20" s="20">
        <v>1</v>
      </c>
      <c r="F20" s="20">
        <v>1</v>
      </c>
      <c r="G20" s="20">
        <f>B20+C20+D20+E20+F20</f>
        <v>182</v>
      </c>
    </row>
    <row r="21" spans="1:7" ht="12.75">
      <c r="A21" t="s">
        <v>11</v>
      </c>
      <c r="B21" s="20">
        <f>1+5+24+2+0+7+0+0+0+0</f>
        <v>39</v>
      </c>
      <c r="C21" s="20">
        <f>0+0+0+0+4+0+5+0+9+4</f>
        <v>22</v>
      </c>
      <c r="D21" s="20">
        <f>0+8+0+2+0+2+0+0+0+0</f>
        <v>12</v>
      </c>
      <c r="E21" s="20">
        <f>2</f>
        <v>2</v>
      </c>
      <c r="F21" s="20">
        <f>1+8+9+8+6+14+52+9</f>
        <v>107</v>
      </c>
      <c r="G21" s="20">
        <f>B21+C21+D21+E21+F21</f>
        <v>182</v>
      </c>
    </row>
    <row r="22" spans="1:7" ht="12.75">
      <c r="A22" t="s">
        <v>12</v>
      </c>
      <c r="B22" s="20">
        <f>15+0+0+4+4+3+6+18+5+0+7</f>
        <v>62</v>
      </c>
      <c r="C22" s="20">
        <f>3+9+6+2+5+0+0+6+0+32+1</f>
        <v>64</v>
      </c>
      <c r="D22" s="20">
        <f>5+0+0+4+0+0+2+0+8+2+1</f>
        <v>22</v>
      </c>
      <c r="E22" s="20">
        <v>1</v>
      </c>
      <c r="F22" s="20">
        <f>0+14+0+0+18+0+0+1+0+0</f>
        <v>33</v>
      </c>
      <c r="G22" s="20">
        <f>B22+C22+D22+E22+F22</f>
        <v>182</v>
      </c>
    </row>
    <row r="23" spans="1:7" ht="12.75">
      <c r="A23" t="s">
        <v>13</v>
      </c>
      <c r="B23" s="20">
        <f>1+8+20+3+8+1+5+0+3+16+4</f>
        <v>69</v>
      </c>
      <c r="C23" s="20">
        <f>34+9+6+2+20+0+4+3+6+3+5</f>
        <v>92</v>
      </c>
      <c r="D23" s="20">
        <f>1+8+1+2+0+1+1+0+2+2</f>
        <v>18</v>
      </c>
      <c r="E23" s="20">
        <v>2</v>
      </c>
      <c r="F23" s="20">
        <v>1</v>
      </c>
      <c r="G23" s="20">
        <f>B23+C23+D23+E23+F23</f>
        <v>182</v>
      </c>
    </row>
    <row r="24" spans="1:7" ht="12.75">
      <c r="A24" t="s">
        <v>14</v>
      </c>
      <c r="B24" s="20">
        <f>2+8+13+2+4+2+3+1+3+17+3</f>
        <v>58</v>
      </c>
      <c r="C24" s="20">
        <f>33+9+5+5+16+4+4+8+6+2+5</f>
        <v>97</v>
      </c>
      <c r="D24" s="20">
        <f>1+8+3+1+0+4+0+0+2+2+1</f>
        <v>22</v>
      </c>
      <c r="E24" s="20">
        <v>4</v>
      </c>
      <c r="F24" s="20">
        <v>1</v>
      </c>
      <c r="G24" s="20">
        <f>B24+C24+D24+E24+F24</f>
        <v>182</v>
      </c>
    </row>
    <row r="27" ht="15.75">
      <c r="A27" s="4" t="s">
        <v>19</v>
      </c>
    </row>
    <row r="28" spans="1:7" ht="12.75">
      <c r="A28" s="17" t="s">
        <v>0</v>
      </c>
      <c r="B28" s="17"/>
      <c r="C28" s="17"/>
      <c r="D28" s="17"/>
      <c r="E28" s="17"/>
      <c r="F28" s="17"/>
      <c r="G28" s="17"/>
    </row>
    <row r="29" spans="1:7" ht="25.5">
      <c r="A29" s="1" t="s">
        <v>1</v>
      </c>
      <c r="B29" s="1">
        <v>4</v>
      </c>
      <c r="C29" s="1">
        <v>3</v>
      </c>
      <c r="D29" s="1">
        <v>2</v>
      </c>
      <c r="E29" s="1">
        <v>1</v>
      </c>
      <c r="F29" s="2" t="s">
        <v>2</v>
      </c>
      <c r="G29" s="1" t="s">
        <v>22</v>
      </c>
    </row>
    <row r="30" spans="1:7" ht="12.75">
      <c r="A30" t="s">
        <v>3</v>
      </c>
      <c r="B30" s="21">
        <f aca="true" t="shared" si="1" ref="B30:B35">B10/G10</f>
        <v>0.44505494505494503</v>
      </c>
      <c r="C30" s="21">
        <f aca="true" t="shared" si="2" ref="C30:C35">C10/G10</f>
        <v>0.4340659340659341</v>
      </c>
      <c r="D30" s="21">
        <f aca="true" t="shared" si="3" ref="D30:D35">D10/G10</f>
        <v>0.1043956043956044</v>
      </c>
      <c r="E30" s="21">
        <f aca="true" t="shared" si="4" ref="E30:E35">E10/G10</f>
        <v>0.01098901098901099</v>
      </c>
      <c r="F30" s="21">
        <f aca="true" t="shared" si="5" ref="F30:F35">F10/G10</f>
        <v>0.005494505494505495</v>
      </c>
      <c r="G30" s="21">
        <f aca="true" t="shared" si="6" ref="G30:G35">B30+C30+D30+E30+F30</f>
        <v>0.9999999999999999</v>
      </c>
    </row>
    <row r="31" spans="1:7" ht="12.75">
      <c r="A31" t="s">
        <v>4</v>
      </c>
      <c r="B31" s="21">
        <f t="shared" si="1"/>
        <v>0.6758241758241759</v>
      </c>
      <c r="C31" s="21">
        <f t="shared" si="2"/>
        <v>0.24175824175824176</v>
      </c>
      <c r="D31" s="21">
        <f t="shared" si="3"/>
        <v>0.07142857142857142</v>
      </c>
      <c r="E31" s="21">
        <f t="shared" si="4"/>
        <v>0.005494505494505495</v>
      </c>
      <c r="F31" s="21">
        <f t="shared" si="5"/>
        <v>0.005494505494505495</v>
      </c>
      <c r="G31" s="21">
        <f t="shared" si="6"/>
        <v>1</v>
      </c>
    </row>
    <row r="32" spans="1:7" ht="12.75">
      <c r="A32" t="s">
        <v>5</v>
      </c>
      <c r="B32" s="21">
        <f t="shared" si="1"/>
        <v>0.32786885245901637</v>
      </c>
      <c r="C32" s="21">
        <f t="shared" si="2"/>
        <v>0.47540983606557374</v>
      </c>
      <c r="D32" s="21">
        <f t="shared" si="3"/>
        <v>0.17486338797814208</v>
      </c>
      <c r="E32" s="21">
        <f t="shared" si="4"/>
        <v>0.01639344262295082</v>
      </c>
      <c r="F32" s="21">
        <f t="shared" si="5"/>
        <v>0.00546448087431694</v>
      </c>
      <c r="G32" s="21">
        <f t="shared" si="6"/>
        <v>1</v>
      </c>
    </row>
    <row r="33" spans="1:7" ht="12.75">
      <c r="A33" t="s">
        <v>6</v>
      </c>
      <c r="B33" s="21">
        <f t="shared" si="1"/>
        <v>0.3131868131868132</v>
      </c>
      <c r="C33" s="21">
        <f t="shared" si="2"/>
        <v>0.5</v>
      </c>
      <c r="D33" s="21">
        <f t="shared" si="3"/>
        <v>0.16483516483516483</v>
      </c>
      <c r="E33" s="21">
        <f t="shared" si="4"/>
        <v>0.016483516483516484</v>
      </c>
      <c r="F33" s="21">
        <f t="shared" si="5"/>
        <v>0.005494505494505495</v>
      </c>
      <c r="G33" s="21">
        <f t="shared" si="6"/>
        <v>1</v>
      </c>
    </row>
    <row r="34" spans="1:7" ht="12.75">
      <c r="A34" t="s">
        <v>7</v>
      </c>
      <c r="B34" s="21">
        <f t="shared" si="1"/>
        <v>0.4076086956521739</v>
      </c>
      <c r="C34" s="21">
        <f t="shared" si="2"/>
        <v>0.4076086956521739</v>
      </c>
      <c r="D34" s="21">
        <f t="shared" si="3"/>
        <v>0.17391304347826086</v>
      </c>
      <c r="E34" s="21">
        <f t="shared" si="4"/>
        <v>0.005434782608695652</v>
      </c>
      <c r="F34" s="21">
        <f t="shared" si="5"/>
        <v>0.005434782608695652</v>
      </c>
      <c r="G34" s="21">
        <f t="shared" si="6"/>
        <v>1</v>
      </c>
    </row>
    <row r="35" spans="1:7" ht="12.75">
      <c r="A35" t="s">
        <v>8</v>
      </c>
      <c r="B35" s="21">
        <f t="shared" si="1"/>
        <v>0.5494505494505495</v>
      </c>
      <c r="C35" s="21">
        <f t="shared" si="2"/>
        <v>0.3241758241758242</v>
      </c>
      <c r="D35" s="21">
        <f t="shared" si="3"/>
        <v>0.11538461538461539</v>
      </c>
      <c r="E35" s="21">
        <f t="shared" si="4"/>
        <v>0.005494505494505495</v>
      </c>
      <c r="F35" s="21">
        <f t="shared" si="5"/>
        <v>0.005494505494505495</v>
      </c>
      <c r="G35" s="21">
        <f t="shared" si="6"/>
        <v>1</v>
      </c>
    </row>
    <row r="38" spans="1:7" ht="12.75">
      <c r="A38" s="17" t="s">
        <v>9</v>
      </c>
      <c r="B38" s="17"/>
      <c r="C38" s="17"/>
      <c r="D38" s="17"/>
      <c r="E38" s="17"/>
      <c r="F38" s="17"/>
      <c r="G38" s="17"/>
    </row>
    <row r="39" spans="1:7" ht="25.5">
      <c r="A39" s="1" t="s">
        <v>1</v>
      </c>
      <c r="B39" s="1">
        <v>4</v>
      </c>
      <c r="C39" s="1">
        <v>3</v>
      </c>
      <c r="D39" s="1">
        <v>2</v>
      </c>
      <c r="E39" s="1">
        <v>1</v>
      </c>
      <c r="F39" s="2" t="s">
        <v>2</v>
      </c>
      <c r="G39" s="1" t="s">
        <v>22</v>
      </c>
    </row>
    <row r="40" spans="1:7" ht="12.75">
      <c r="A40" t="s">
        <v>10</v>
      </c>
      <c r="B40" s="21">
        <f>B20/G20</f>
        <v>0.7307692307692307</v>
      </c>
      <c r="C40" s="21">
        <f>C20/G20</f>
        <v>0.16483516483516483</v>
      </c>
      <c r="D40" s="21">
        <f>D20/G20</f>
        <v>0.09340659340659341</v>
      </c>
      <c r="E40" s="21">
        <f>E20/G20</f>
        <v>0.005494505494505495</v>
      </c>
      <c r="F40" s="21">
        <f>F20/G20</f>
        <v>0.005494505494505495</v>
      </c>
      <c r="G40" s="21">
        <f>B40+C40+D40+E40+F40</f>
        <v>0.9999999999999999</v>
      </c>
    </row>
    <row r="41" spans="1:7" ht="12.75">
      <c r="A41" t="s">
        <v>11</v>
      </c>
      <c r="B41" s="21">
        <f>B21/G21</f>
        <v>0.21428571428571427</v>
      </c>
      <c r="C41" s="21">
        <f>C21/G21</f>
        <v>0.12087912087912088</v>
      </c>
      <c r="D41" s="21">
        <f>D21/G21</f>
        <v>0.06593406593406594</v>
      </c>
      <c r="E41" s="21">
        <f>E21/G21</f>
        <v>0.01098901098901099</v>
      </c>
      <c r="F41" s="21">
        <f>F21/G21</f>
        <v>0.5879120879120879</v>
      </c>
      <c r="G41" s="21">
        <f>B41+C41+D41+E41+F41</f>
        <v>1</v>
      </c>
    </row>
    <row r="42" spans="1:7" ht="12.75">
      <c r="A42" t="s">
        <v>12</v>
      </c>
      <c r="B42" s="21">
        <f>B22/G22</f>
        <v>0.34065934065934067</v>
      </c>
      <c r="C42" s="21">
        <f>C22/G22</f>
        <v>0.3516483516483517</v>
      </c>
      <c r="D42" s="21">
        <f>D22/G22</f>
        <v>0.12087912087912088</v>
      </c>
      <c r="E42" s="21">
        <f>E22/G22</f>
        <v>0.005494505494505495</v>
      </c>
      <c r="F42" s="21">
        <f>F22/G22</f>
        <v>0.1813186813186813</v>
      </c>
      <c r="G42" s="21">
        <f>B42+C42+D42+E42+F42</f>
        <v>1</v>
      </c>
    </row>
    <row r="43" spans="1:7" ht="12.75">
      <c r="A43" t="s">
        <v>13</v>
      </c>
      <c r="B43" s="21">
        <f>B23/G23</f>
        <v>0.3791208791208791</v>
      </c>
      <c r="C43" s="21">
        <f>C23/G23</f>
        <v>0.5054945054945055</v>
      </c>
      <c r="D43" s="21">
        <f>D23/G23</f>
        <v>0.0989010989010989</v>
      </c>
      <c r="E43" s="21">
        <f>E23/G23</f>
        <v>0.01098901098901099</v>
      </c>
      <c r="F43" s="21">
        <f>F23/G23</f>
        <v>0.005494505494505495</v>
      </c>
      <c r="G43" s="21">
        <f>B43+C43+D43+E43+F43</f>
        <v>0.9999999999999999</v>
      </c>
    </row>
    <row r="44" spans="1:7" ht="12.75">
      <c r="A44" t="s">
        <v>14</v>
      </c>
      <c r="B44" s="21">
        <f>B24/G24</f>
        <v>0.31868131868131866</v>
      </c>
      <c r="C44" s="21">
        <f>C24/G24</f>
        <v>0.532967032967033</v>
      </c>
      <c r="D44" s="21">
        <f>D24/G24</f>
        <v>0.12087912087912088</v>
      </c>
      <c r="E44" s="21">
        <f>E24/G24</f>
        <v>0.02197802197802198</v>
      </c>
      <c r="F44" s="21">
        <f>F24/G24</f>
        <v>0.005494505494505495</v>
      </c>
      <c r="G44" s="21">
        <f>B44+C44+D44+E44+F44</f>
        <v>1</v>
      </c>
    </row>
  </sheetData>
  <sheetProtection/>
  <mergeCells count="4">
    <mergeCell ref="A8:G8"/>
    <mergeCell ref="A18:G18"/>
    <mergeCell ref="A28:G28"/>
    <mergeCell ref="A38:G38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Bonini</dc:creator>
  <cp:keywords/>
  <dc:description/>
  <cp:lastModifiedBy>Erika Katz Prager</cp:lastModifiedBy>
  <cp:lastPrinted>2010-02-10T19:04:00Z</cp:lastPrinted>
  <dcterms:created xsi:type="dcterms:W3CDTF">2006-02-01T19:59:07Z</dcterms:created>
  <dcterms:modified xsi:type="dcterms:W3CDTF">2010-02-10T19:05:24Z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