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496" windowWidth="16400" windowHeight="10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'Sheet1'!$A$2:$J$456</definedName>
  </definedNames>
  <calcPr fullCalcOnLoad="1"/>
</workbook>
</file>

<file path=xl/sharedStrings.xml><?xml version="1.0" encoding="utf-8"?>
<sst xmlns="http://schemas.openxmlformats.org/spreadsheetml/2006/main" count="469" uniqueCount="263">
  <si>
    <t>0.1853 + 0.179 - 0.1203 =</t>
  </si>
  <si>
    <t>Now we can draw an UNROOTED tree with the indicated branch lengths</t>
  </si>
  <si>
    <t>Human</t>
  </si>
  <si>
    <t>Chimp</t>
  </si>
  <si>
    <t>Gorilla</t>
  </si>
  <si>
    <t>We would proceed by creating a new Node 4, separating Gibbon (node E) from all the rest as follows</t>
  </si>
  <si>
    <t xml:space="preserve">Create the new node, 4, along the Gibbon branch.  </t>
  </si>
  <si>
    <t>3' + e =</t>
  </si>
  <si>
    <t>{Hu-Gi + Ch-Gi + Go-Gi + Or-Gi}</t>
  </si>
  <si>
    <t xml:space="preserve">Assume mid-point rooting so that 3' = e.  Then 3' = 0.18375/2 = </t>
  </si>
  <si>
    <t xml:space="preserve">The distance 3'' from Node 3 to Node 4 is therefore 3' (0.09188) minus </t>
  </si>
  <si>
    <t xml:space="preserve">the height of Node 3, which was 0.060.  </t>
  </si>
  <si>
    <t xml:space="preserve">3'' therefore = </t>
  </si>
  <si>
    <t>Sum 3'' + e =</t>
  </si>
  <si>
    <t>Node 2 to Node 1 pieces</t>
  </si>
  <si>
    <t>Ch to 1</t>
  </si>
  <si>
    <t>Hu to 1</t>
  </si>
  <si>
    <t xml:space="preserve">This one is more complicated than the other way </t>
  </si>
  <si>
    <t>because we have  a distant node under construction</t>
  </si>
  <si>
    <t xml:space="preserve">before we put in the "middle".  </t>
  </si>
  <si>
    <t>This box provides pieces for the analysis of Cell $D$490</t>
  </si>
  <si>
    <t>We know Go to Node 2, and Go to Node 1, and Node 1 to Node 2</t>
  </si>
  <si>
    <t>Next piece: C to Node 3.</t>
  </si>
  <si>
    <t>Next: Node 3 to Node 2</t>
  </si>
  <si>
    <t>Node 3 to Node 1</t>
  </si>
  <si>
    <t xml:space="preserve">Add the first two and subtract the internode bit and then divide by two.  </t>
  </si>
  <si>
    <t>r are the sums of Row Taxon distances to all other taxa.</t>
  </si>
  <si>
    <t>Use the r to calculate the lower diagonal matrix of negative numbers above</t>
  </si>
  <si>
    <t>How we calculate E (Gibbon) to Node 1 (we'll call it "e")</t>
  </si>
  <si>
    <t>It is half the distance from D to E given in the upper right diagonal of the matrices above PLUS</t>
  </si>
  <si>
    <t xml:space="preserve">     half the difference between the r/(N-2) values highlighted above in double yellow lines </t>
  </si>
  <si>
    <t>Jukes-Cantor distances (above diagonal)</t>
  </si>
  <si>
    <t>NOTE on "working branch length" convention.  In Fig. 3 (below) the 1' refers to everything</t>
  </si>
  <si>
    <t xml:space="preserve">taxa A and B, as well as the internode between Nodes 1 and 2.  </t>
  </si>
  <si>
    <t xml:space="preserve">We will use the convention 1'' to refer to the internode branch length.  </t>
  </si>
  <si>
    <t>N.B.</t>
  </si>
  <si>
    <t>from Node 2 down (NOT including branch c or taxon C).  That is, it comprises</t>
  </si>
  <si>
    <t>Dist. fr H-C-Go-O to Gibbon =</t>
  </si>
  <si>
    <t>0.198+0.179+0.179+0.179</t>
  </si>
  <si>
    <t>N.B. Branch lengths will be HALF the distance computed between nodes</t>
  </si>
  <si>
    <t>Pixels</t>
  </si>
  <si>
    <t>Branch =</t>
  </si>
  <si>
    <t xml:space="preserve">We now have branch lengths for the full tree.  They are the upper leftmost cell of </t>
  </si>
  <si>
    <t xml:space="preserve">each of the successive matrices.  </t>
  </si>
  <si>
    <t>think of phylogenies as 'progressive'</t>
  </si>
  <si>
    <t>§§§§§§§</t>
  </si>
  <si>
    <t>Method II. Fitch-Margoliash algorithm</t>
  </si>
  <si>
    <t xml:space="preserve">which is essentially "all the rest".  </t>
  </si>
  <si>
    <t>dAB_ =</t>
  </si>
  <si>
    <t>0.045 + 0.143 + 0.198</t>
  </si>
  <si>
    <t>a + x</t>
  </si>
  <si>
    <t>b + x</t>
  </si>
  <si>
    <t>dAX =</t>
  </si>
  <si>
    <t xml:space="preserve">For the r/(N-2) differences, which comes first?  The target taxon -- that is, for </t>
  </si>
  <si>
    <t>e, we will use E's r/(N-2)</t>
  </si>
  <si>
    <t xml:space="preserve">d = </t>
  </si>
  <si>
    <t xml:space="preserve">Although this "difference approach" is easier, note that we could use the </t>
  </si>
  <si>
    <t xml:space="preserve">more complicated equation above instead.   </t>
  </si>
  <si>
    <t xml:space="preserve">Look at the pink cells below.  </t>
  </si>
  <si>
    <t>N.B. next r-divisor will be 2, because we have fewer taxa</t>
  </si>
  <si>
    <t xml:space="preserve">3-OTU cluster to remaining taxa. </t>
  </si>
  <si>
    <t>0.143+0.126+0.092</t>
  </si>
  <si>
    <t>0.198+0.179+0.179</t>
  </si>
  <si>
    <t>Dist. Hu-Ch-Go to Orang =</t>
  </si>
  <si>
    <t>Dist.  Hu/Ch/Go to Gibbon =</t>
  </si>
  <si>
    <t xml:space="preserve">Now reduce again by averaging ORIGINAL distances from members of new </t>
  </si>
  <si>
    <t xml:space="preserve">4-OTU cluster to remaining taxa. </t>
  </si>
  <si>
    <t>H-Cg-Go</t>
  </si>
  <si>
    <t>H-C-Go</t>
  </si>
  <si>
    <t>N.B. My calculations agree with those of Weir, 1996, p. 270, Fig. 8.6</t>
  </si>
  <si>
    <t>{Go-Or + Go-Gi}</t>
  </si>
  <si>
    <t>d1X_ =</t>
  </si>
  <si>
    <t>{Hu-Go + Ch-Go}</t>
  </si>
  <si>
    <t>1' =</t>
  </si>
  <si>
    <t>Similar logic will apply when computing future branch lengths as we add nodes</t>
  </si>
  <si>
    <t>Diff mine - PHYLLIP of e'</t>
  </si>
  <si>
    <t>0.045 + 0.03</t>
  </si>
  <si>
    <t>0.092 + 0.179</t>
  </si>
  <si>
    <t>dCX =</t>
  </si>
  <si>
    <t>(0.143 + 0.198) + (0.126+0.179)</t>
  </si>
  <si>
    <t>{Hu-Or + Hu-Gi}</t>
  </si>
  <si>
    <t>{Ch-Or + Ch-Gi}</t>
  </si>
  <si>
    <t xml:space="preserve">B to Node 1 = [(B-D - d) + (B-E - e)]/2 = [(0.126 - 0.057) + (0.179 - 0.122)]/2 = </t>
  </si>
  <si>
    <t xml:space="preserve">C to Node 1 = [(C-D - d) + (C-E - e)]/2 = [(0.092 - 0.057) + (0.179 - 0.122)]/2 = </t>
  </si>
  <si>
    <t>Note: we could join A&amp;B instead</t>
  </si>
  <si>
    <t>Join C &amp; Node 1  to make Node 2</t>
  </si>
  <si>
    <t>Join B &amp; Node 2 to make Node 3</t>
  </si>
  <si>
    <t>B to Node 3 = b =</t>
  </si>
  <si>
    <t>Half the Distance from C to Node 1 + half the diff. between the r/(N-2)</t>
  </si>
  <si>
    <t>Half the distance from B to Node 2 + half the diff. between the r/(N-2)</t>
  </si>
  <si>
    <t>see cells below Fig. for that route</t>
  </si>
  <si>
    <t xml:space="preserve">Alternative version using A-B join rather than C-Node 1 join.  </t>
  </si>
  <si>
    <t>Join A &amp; B to make Node 2</t>
  </si>
  <si>
    <t>so d = 0.179 - 0.122 = 0.057</t>
  </si>
  <si>
    <t>Dist. fr Hu-Ch to Gorilla =</t>
  </si>
  <si>
    <t>Dist. fr Hu-Ch to Orang. =</t>
  </si>
  <si>
    <t>0.143+0.126</t>
  </si>
  <si>
    <t>Dist. fr Hu-Ch to Gibbon =</t>
  </si>
  <si>
    <t>0.198+0.179</t>
  </si>
  <si>
    <t>Create new reduced matrix</t>
  </si>
  <si>
    <t>Hu-Ch</t>
  </si>
  <si>
    <t>Orang.</t>
  </si>
  <si>
    <t>Calculation of phylogenetic tree using UPGMA &amp; Fitch-Margoliash methods</t>
  </si>
  <si>
    <t xml:space="preserve">Thus, PYLLIP found a (slightly) shorter tree, by disallowing the negative branch length </t>
  </si>
  <si>
    <t>Very similar result</t>
  </si>
  <si>
    <t>N.B. We could try other combos of initial taxa for clades and might get a BETTER tree</t>
  </si>
  <si>
    <t>Data from Weir, 1996</t>
  </si>
  <si>
    <t>Neighbor-joining method</t>
  </si>
  <si>
    <t>0.143 + 0.126 + 0.092</t>
  </si>
  <si>
    <t>0.198 + 0.179 + 0.179</t>
  </si>
  <si>
    <t>0.1853 - x</t>
  </si>
  <si>
    <t>0.179 -x</t>
  </si>
  <si>
    <t>d2X =</t>
  </si>
  <si>
    <t>d2D_ =</t>
  </si>
  <si>
    <t>{Hu-Gi + Ch-Gi + Go-Gi}</t>
  </si>
  <si>
    <t>d + x</t>
  </si>
  <si>
    <t>dDX =</t>
  </si>
  <si>
    <t>2' + d</t>
  </si>
  <si>
    <t>d2X_ =</t>
  </si>
  <si>
    <t>{Hu-Or + Ch-Or + Go-Or}</t>
  </si>
  <si>
    <t>2' =</t>
  </si>
  <si>
    <t>Height of Node 3 is therefore</t>
  </si>
  <si>
    <t>to Gibbon and other half runs from base to the other four branch tips</t>
  </si>
  <si>
    <t xml:space="preserve">The lower tree was drawn with 'scrambled' nodes to emphasize the point that topology </t>
  </si>
  <si>
    <t>remains the same despite any of numerous permutations, and to de-emphasize tendency to</t>
  </si>
  <si>
    <t xml:space="preserve">next smallest distance is from the Human-Chimp-Gorilla clade to Orangutan.  </t>
  </si>
  <si>
    <t>1 UPGMA; 2 Fitch-Margoliash; 3 Neighbor-joining</t>
  </si>
  <si>
    <t xml:space="preserve">****  I corresponded with Weir and Felsenstein about why the internode distance E-G (e'') is different  </t>
  </si>
  <si>
    <t>C (gorilla)</t>
  </si>
  <si>
    <t>D (orangutan)</t>
  </si>
  <si>
    <t>E (gibbon)</t>
  </si>
  <si>
    <t>Join D &amp; E</t>
  </si>
  <si>
    <t>Node1</t>
  </si>
  <si>
    <t>r/2</t>
  </si>
  <si>
    <t>Node 1</t>
  </si>
  <si>
    <t>Node 2</t>
  </si>
  <si>
    <t>Node 2 to Node 3</t>
  </si>
  <si>
    <t>Node 3</t>
  </si>
  <si>
    <t>Agrees w/ PHYLLIP output</t>
  </si>
  <si>
    <t xml:space="preserve">because they have the smallest </t>
  </si>
  <si>
    <t xml:space="preserve">(most negative) transformed distance </t>
  </si>
  <si>
    <t xml:space="preserve">in the lower diagonal of the matrix </t>
  </si>
  <si>
    <t>to the left</t>
  </si>
  <si>
    <t>r/1</t>
  </si>
  <si>
    <t>Results of Fitch-Margoliash analysis from PHYLIP</t>
  </si>
  <si>
    <t>We now solve the above three equations in three unknowns as follows</t>
  </si>
  <si>
    <t>a =</t>
  </si>
  <si>
    <t>0.129 - x</t>
  </si>
  <si>
    <t>b =</t>
  </si>
  <si>
    <t>0.112 -x</t>
  </si>
  <si>
    <t>(0.129 -x) + (0.112 - x) = 0.015</t>
  </si>
  <si>
    <t>Therefore</t>
  </si>
  <si>
    <t>2x =</t>
  </si>
  <si>
    <t>0.129 + 0.112 - 0.015 =</t>
  </si>
  <si>
    <t>x =</t>
  </si>
  <si>
    <t xml:space="preserve">We now do exactly what we did to create the reduced matrix in the UPGMA case, and find that the </t>
  </si>
  <si>
    <t>next smallest distance is from the Human-Chimp clade to Gorilla.  We therefore create</t>
  </si>
  <si>
    <t>Total branch length of our tree =</t>
  </si>
  <si>
    <t>E</t>
  </si>
  <si>
    <t>G</t>
  </si>
  <si>
    <t>C</t>
  </si>
  <si>
    <t>Fig. 1a</t>
  </si>
  <si>
    <t>Fig. 1b</t>
  </si>
  <si>
    <t>Fig. 2</t>
  </si>
  <si>
    <t>Fig. 3</t>
  </si>
  <si>
    <t>Fig. 4</t>
  </si>
  <si>
    <t>Fig. 5</t>
  </si>
  <si>
    <t>Fig. 6</t>
  </si>
  <si>
    <t>Total branch length</t>
  </si>
  <si>
    <t>Compare this with our unrooted Fitch-Margoliash tree shown in Fig. 5</t>
  </si>
  <si>
    <t>Computed by PHYLLIP</t>
  </si>
  <si>
    <t>(0.1853 -x) + (0.179 - x) = 0.1203</t>
  </si>
  <si>
    <t>The next branch length (d) is easier because we already know that d+e = 0.179 and we now know e = 0.122,</t>
  </si>
  <si>
    <t>we can now calculate the "height" of node 1</t>
  </si>
  <si>
    <t xml:space="preserve">a new tree with C for gorilla and 2 as the node connecting it to A,B.  </t>
  </si>
  <si>
    <t>1' + x</t>
  </si>
  <si>
    <t>d1C_ =</t>
  </si>
  <si>
    <t>d1X =</t>
  </si>
  <si>
    <t>dC1_ =</t>
  </si>
  <si>
    <t>Those are Human-Chimp with 0.015</t>
  </si>
  <si>
    <t>A to other taxon in Node 1 - that taxon's branch length.</t>
  </si>
  <si>
    <t>Fig. 7</t>
  </si>
  <si>
    <t xml:space="preserve">A to Node 1 = [(A-D - d) + (A-E - e)]/2 = [(0.143 - 0.057) + (0.198 - 0.122)]/2 = </t>
  </si>
  <si>
    <t>B to Node 2 = b =</t>
  </si>
  <si>
    <t>Half the distance from A to B plus half the diff. between the r/(N-2)</t>
  </si>
  <si>
    <t>A to Node 2 = a =</t>
  </si>
  <si>
    <t>N.B. Sum of branch e + Internode 3-4 ≠ Gibbon branch in previous unrooted tree.</t>
  </si>
  <si>
    <t>I.e. 3' + e ≠ x of Fig. 4, Fig. 5</t>
  </si>
  <si>
    <t>E to node 1 = e =</t>
  </si>
  <si>
    <t>D to Node 1 = d =</t>
  </si>
  <si>
    <t>C to Node 2 = c =</t>
  </si>
  <si>
    <t>Node 1 to Node 2 = 1' =</t>
  </si>
  <si>
    <t>We now need to reformulate a matrix that incorporates Node 1.  We compute the distances from Node 1</t>
  </si>
  <si>
    <t>to the various taxa as the ORIGINAL A to taxon in Node 1 - branch length to that taxon</t>
  </si>
  <si>
    <t>dBA_ =</t>
  </si>
  <si>
    <t>dBX =</t>
  </si>
  <si>
    <t>0.03 + 0.126 + 0.179</t>
  </si>
  <si>
    <t>a + b</t>
  </si>
  <si>
    <t>UPGMA method</t>
  </si>
  <si>
    <t>§§§§§§§§§§§</t>
  </si>
  <si>
    <t>Between</t>
  </si>
  <si>
    <t>And</t>
  </si>
  <si>
    <t>Length</t>
  </si>
  <si>
    <t xml:space="preserve">Table 8.2, p. 264 </t>
  </si>
  <si>
    <t>A</t>
  </si>
  <si>
    <t>B</t>
  </si>
  <si>
    <t>D</t>
  </si>
  <si>
    <t>r</t>
  </si>
  <si>
    <t>r/3</t>
  </si>
  <si>
    <t>A (human)</t>
  </si>
  <si>
    <t>–</t>
  </si>
  <si>
    <t>B (chimp)</t>
  </si>
  <si>
    <t>treefile output in TreeView software (I added text for branch lengths and Node numbers</t>
  </si>
  <si>
    <t xml:space="preserve">Fig. 8.  </t>
  </si>
  <si>
    <t>0.1615 + 0.1355 - 0.0375 =</t>
  </si>
  <si>
    <t xml:space="preserve">Again we do what we did to create the reduced matrix in the UPGMA case, and find that the </t>
  </si>
  <si>
    <t>If we FORCED a root along the branch to Gibbon we could recover the topology of the UPGMA tree</t>
  </si>
  <si>
    <t>0.198 + 0.179 + 0.179 +0.179</t>
  </si>
  <si>
    <t>Resulting tree, with branch lengths shown,  is:</t>
  </si>
  <si>
    <t>We begin by taking the two close OTUs as one clade, and then creating a third, hypothetical OTU</t>
  </si>
  <si>
    <t>Height of Node 2 is therefore</t>
  </si>
  <si>
    <t>Now, we might like to know the length of the internode connecting 1 to 2.  This is NOT the 1' given above</t>
  </si>
  <si>
    <t>but is given by 1' minus the average branch length of a and b (i.e., the height of 1)</t>
  </si>
  <si>
    <t>We will call this internode branch length 1'' ("one double prime") and calulate it as</t>
  </si>
  <si>
    <t>1' - 1^, where 1^ means "the height of Node 1".</t>
  </si>
  <si>
    <t>Therefore  1'' = 1' - 1^ = 0.03175 - 0.0075   =</t>
  </si>
  <si>
    <t xml:space="preserve">We therefore create a new tree with D for orangutan and 3 </t>
  </si>
  <si>
    <t xml:space="preserve">as the node connecting it to Node 2.  </t>
  </si>
  <si>
    <t>2' + x</t>
  </si>
  <si>
    <t>dAB =</t>
  </si>
  <si>
    <t>c + x</t>
  </si>
  <si>
    <t>1' + c</t>
  </si>
  <si>
    <t>Gibbon</t>
  </si>
  <si>
    <t>Orangutan</t>
  </si>
  <si>
    <t>—</t>
  </si>
  <si>
    <t xml:space="preserve">MtDNA sequence data: No. of differences (below diagonal) and </t>
  </si>
  <si>
    <t xml:space="preserve">D to Node 1 = d = </t>
  </si>
  <si>
    <t>Can use either taxon first</t>
  </si>
  <si>
    <t>Internode length 2'' is therefore 2' - 2^  =  0.063 - 0.01875  =</t>
  </si>
  <si>
    <t>We again solve the above three equations in three unknowns as follows</t>
  </si>
  <si>
    <t>c =</t>
  </si>
  <si>
    <t>d =</t>
  </si>
  <si>
    <t>N.B.  The trees above have the same topology!!!!</t>
  </si>
  <si>
    <t>0.1355 -x</t>
  </si>
  <si>
    <t>0.1615 - x</t>
  </si>
  <si>
    <t>(0.1615 -x) + (0.1355 - x) = 0.0375</t>
  </si>
  <si>
    <t xml:space="preserve">in my calculations than in PHYLIP's.  </t>
  </si>
  <si>
    <t xml:space="preserve">Neighbor-joining tree created by using PHYLIP's Neighbor routine and then opening the </t>
  </si>
  <si>
    <t>with a drawing program. (Internodes are same length as in PHYLIP F-M method).</t>
  </si>
  <si>
    <t>Orang</t>
  </si>
  <si>
    <t xml:space="preserve">Step 1.  Assess shortest distance.  Join these two closest OTUs </t>
  </si>
  <si>
    <t xml:space="preserve">and calculate all remaining distances as the average from the new cluster. </t>
  </si>
  <si>
    <t>0.045+0.030</t>
  </si>
  <si>
    <t>=</t>
  </si>
  <si>
    <t xml:space="preserve">i.e., branch length to Gibbon has TOTAL length of  0.184 of which half runs from base ('root') </t>
  </si>
  <si>
    <t>to Chimp, but the tree has the same topology as ours.</t>
  </si>
  <si>
    <t>PHYLLIP results w/ negative lengths allowed</t>
  </si>
  <si>
    <t>[By convention, negative distances are often set to zero, but we won't do that]</t>
  </si>
  <si>
    <t xml:space="preserve">as the average of a and b [=(0.016+-0.001)/2 = </t>
  </si>
  <si>
    <t xml:space="preserve">Sum = </t>
  </si>
  <si>
    <t>[negative branch lengths disallowed]</t>
  </si>
  <si>
    <t>0.122 + 0.057 + 0.044 + 0.006 + 0.024 + -0.001 + 0.016 =</t>
  </si>
  <si>
    <t xml:space="preserve">Now reduce further by averaging ORIGINAL distances from members of new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</si>
</sst>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Tms Rmn"/>
      <family val="0"/>
    </font>
    <font>
      <b/>
      <sz val="14"/>
      <color indexed="10"/>
      <name val="Tms Rmn"/>
      <family val="0"/>
    </font>
    <font>
      <b/>
      <sz val="14"/>
      <color indexed="18"/>
      <name val="Tms Rmn"/>
      <family val="0"/>
    </font>
    <font>
      <sz val="9"/>
      <color indexed="18"/>
      <name val="Geneva"/>
      <family val="0"/>
    </font>
    <font>
      <b/>
      <sz val="14"/>
      <color indexed="48"/>
      <name val="Tms Rmn"/>
      <family val="0"/>
    </font>
    <font>
      <b/>
      <sz val="14"/>
      <color indexed="35"/>
      <name val="Tms Rmn"/>
      <family val="0"/>
    </font>
    <font>
      <b/>
      <sz val="18"/>
      <color indexed="35"/>
      <name val="Tms Rmn"/>
      <family val="0"/>
    </font>
    <font>
      <b/>
      <sz val="12"/>
      <name val="Tms Rmn"/>
      <family val="0"/>
    </font>
    <font>
      <i/>
      <sz val="14"/>
      <name val="Tms Rmn"/>
      <family val="0"/>
    </font>
  </fonts>
  <fills count="6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>
        <color indexed="34"/>
      </left>
      <right style="double">
        <color indexed="34"/>
      </right>
      <top style="double">
        <color indexed="34"/>
      </top>
      <bottom style="thin"/>
    </border>
    <border>
      <left style="double">
        <color indexed="34"/>
      </left>
      <right style="double">
        <color indexed="34"/>
      </right>
      <top>
        <color indexed="63"/>
      </top>
      <bottom>
        <color indexed="63"/>
      </bottom>
    </border>
    <border>
      <left style="double">
        <color indexed="34"/>
      </left>
      <right style="double">
        <color indexed="34"/>
      </right>
      <top>
        <color indexed="63"/>
      </top>
      <bottom style="double">
        <color indexed="34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 style="thin"/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9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0" xfId="0" applyNumberFormat="1" applyFont="1" applyAlignment="1">
      <alignment horizontal="left"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6" fillId="2" borderId="2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8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164" fontId="6" fillId="0" borderId="5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2" borderId="22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11" xfId="0" applyNumberFormat="1" applyFont="1" applyBorder="1" applyAlignment="1">
      <alignment/>
    </xf>
    <xf numFmtId="164" fontId="6" fillId="2" borderId="17" xfId="0" applyNumberFormat="1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164" fontId="6" fillId="2" borderId="17" xfId="0" applyNumberFormat="1" applyFont="1" applyFill="1" applyBorder="1" applyAlignment="1">
      <alignment/>
    </xf>
    <xf numFmtId="164" fontId="6" fillId="2" borderId="18" xfId="0" applyNumberFormat="1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/>
    </xf>
    <xf numFmtId="0" fontId="6" fillId="2" borderId="16" xfId="0" applyFont="1" applyFill="1" applyBorder="1" applyAlignment="1">
      <alignment horizontal="right"/>
    </xf>
    <xf numFmtId="164" fontId="6" fillId="3" borderId="17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0" fontId="8" fillId="2" borderId="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6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5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17" xfId="0" applyNumberFormat="1" applyFont="1" applyBorder="1" applyAlignment="1">
      <alignment/>
    </xf>
    <xf numFmtId="0" fontId="4" fillId="5" borderId="9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64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64" fontId="4" fillId="0" borderId="9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2" borderId="28" xfId="0" applyFont="1" applyFill="1" applyBorder="1" applyAlignment="1">
      <alignment horizontal="right"/>
    </xf>
    <xf numFmtId="0" fontId="4" fillId="2" borderId="29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64" fontId="4" fillId="5" borderId="16" xfId="0" applyNumberFormat="1" applyFont="1" applyFill="1" applyBorder="1" applyAlignment="1">
      <alignment horizontal="center"/>
    </xf>
    <xf numFmtId="0" fontId="0" fillId="5" borderId="0" xfId="0" applyFont="1" applyFill="1" applyAlignment="1">
      <alignment/>
    </xf>
    <xf numFmtId="164" fontId="4" fillId="5" borderId="9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right"/>
    </xf>
    <xf numFmtId="0" fontId="4" fillId="0" borderId="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2" fillId="0" borderId="0" xfId="0" applyFont="1" applyAlignment="1">
      <alignment/>
    </xf>
    <xf numFmtId="165" fontId="4" fillId="5" borderId="0" xfId="0" applyNumberFormat="1" applyFont="1" applyFill="1" applyAlignment="1">
      <alignment/>
    </xf>
    <xf numFmtId="0" fontId="12" fillId="0" borderId="4" xfId="0" applyFont="1" applyBorder="1" applyAlignment="1">
      <alignment/>
    </xf>
    <xf numFmtId="0" fontId="12" fillId="0" borderId="7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12" fillId="0" borderId="0" xfId="0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12" fillId="4" borderId="0" xfId="0" applyFont="1" applyFill="1" applyAlignment="1">
      <alignment/>
    </xf>
    <xf numFmtId="0" fontId="4" fillId="5" borderId="5" xfId="0" applyFont="1" applyFill="1" applyBorder="1" applyAlignment="1">
      <alignment horizontal="center"/>
    </xf>
    <xf numFmtId="0" fontId="4" fillId="5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8.emf" /><Relationship Id="rId7" Type="http://schemas.openxmlformats.org/officeDocument/2006/relationships/image" Target="../media/image2.emf" /><Relationship Id="rId8" Type="http://schemas.openxmlformats.org/officeDocument/2006/relationships/image" Target="../media/image9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62</xdr:row>
      <xdr:rowOff>28575</xdr:rowOff>
    </xdr:from>
    <xdr:to>
      <xdr:col>9</xdr:col>
      <xdr:colOff>514350</xdr:colOff>
      <xdr:row>78</xdr:row>
      <xdr:rowOff>200025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2125325"/>
          <a:ext cx="825817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79</xdr:row>
      <xdr:rowOff>123825</xdr:rowOff>
    </xdr:from>
    <xdr:to>
      <xdr:col>9</xdr:col>
      <xdr:colOff>438150</xdr:colOff>
      <xdr:row>98</xdr:row>
      <xdr:rowOff>19050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106775"/>
          <a:ext cx="817245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111</xdr:row>
      <xdr:rowOff>28575</xdr:rowOff>
    </xdr:from>
    <xdr:to>
      <xdr:col>9</xdr:col>
      <xdr:colOff>666750</xdr:colOff>
      <xdr:row>127</xdr:row>
      <xdr:rowOff>200025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22831425"/>
          <a:ext cx="851535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162</xdr:row>
      <xdr:rowOff>47625</xdr:rowOff>
    </xdr:from>
    <xdr:to>
      <xdr:col>9</xdr:col>
      <xdr:colOff>676275</xdr:colOff>
      <xdr:row>195</xdr:row>
      <xdr:rowOff>171450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3213675"/>
          <a:ext cx="8867775" cy="766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231</xdr:row>
      <xdr:rowOff>95250</xdr:rowOff>
    </xdr:from>
    <xdr:to>
      <xdr:col>9</xdr:col>
      <xdr:colOff>628650</xdr:colOff>
      <xdr:row>264</xdr:row>
      <xdr:rowOff>209550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47701200"/>
          <a:ext cx="8867775" cy="765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293</xdr:row>
      <xdr:rowOff>28575</xdr:rowOff>
    </xdr:from>
    <xdr:to>
      <xdr:col>9</xdr:col>
      <xdr:colOff>666750</xdr:colOff>
      <xdr:row>309</xdr:row>
      <xdr:rowOff>200025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" y="60740925"/>
          <a:ext cx="851535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344</xdr:row>
      <xdr:rowOff>209550</xdr:rowOff>
    </xdr:from>
    <xdr:to>
      <xdr:col>8</xdr:col>
      <xdr:colOff>514350</xdr:colOff>
      <xdr:row>363</xdr:row>
      <xdr:rowOff>180975</xdr:rowOff>
    </xdr:to>
    <xdr:pic>
      <xdr:nvPicPr>
        <xdr:cNvPr id="7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0175" y="71285100"/>
          <a:ext cx="675322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414</xdr:row>
      <xdr:rowOff>76200</xdr:rowOff>
    </xdr:from>
    <xdr:to>
      <xdr:col>7</xdr:col>
      <xdr:colOff>866775</xdr:colOff>
      <xdr:row>429</xdr:row>
      <xdr:rowOff>171450</xdr:rowOff>
    </xdr:to>
    <xdr:pic>
      <xdr:nvPicPr>
        <xdr:cNvPr id="8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85296375"/>
          <a:ext cx="671512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457</xdr:row>
      <xdr:rowOff>19050</xdr:rowOff>
    </xdr:from>
    <xdr:to>
      <xdr:col>7</xdr:col>
      <xdr:colOff>676275</xdr:colOff>
      <xdr:row>481</xdr:row>
      <xdr:rowOff>19050</xdr:rowOff>
    </xdr:to>
    <xdr:pic>
      <xdr:nvPicPr>
        <xdr:cNvPr id="9" name="Picture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94040325"/>
          <a:ext cx="6743700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6"/>
  <sheetViews>
    <sheetView tabSelected="1" workbookViewId="0" topLeftCell="A391">
      <selection activeCell="D411" sqref="D411"/>
    </sheetView>
  </sheetViews>
  <sheetFormatPr defaultColWidth="11.00390625" defaultRowHeight="12"/>
  <cols>
    <col min="1" max="1" width="18.00390625" style="1" customWidth="1"/>
    <col min="2" max="2" width="11.125" style="1" customWidth="1"/>
    <col min="3" max="3" width="10.875" style="1" customWidth="1"/>
    <col min="4" max="4" width="12.50390625" style="1" customWidth="1"/>
    <col min="5" max="5" width="11.00390625" style="1" bestFit="1" customWidth="1"/>
    <col min="6" max="6" width="10.875" style="1" customWidth="1"/>
    <col min="7" max="7" width="12.375" style="1" bestFit="1" customWidth="1"/>
    <col min="8" max="8" width="13.50390625" style="1" customWidth="1"/>
    <col min="9" max="16384" width="10.875" style="1" customWidth="1"/>
  </cols>
  <sheetData>
    <row r="1" ht="15">
      <c r="A1" s="1" t="s">
        <v>126</v>
      </c>
    </row>
    <row r="2" spans="1:14" ht="15">
      <c r="A2" s="41" t="s">
        <v>102</v>
      </c>
      <c r="B2" s="41"/>
      <c r="C2" s="41"/>
      <c r="D2" s="41"/>
      <c r="E2" s="41"/>
      <c r="F2" s="41"/>
      <c r="G2" s="41"/>
      <c r="H2" s="40"/>
      <c r="I2" s="40"/>
      <c r="J2" s="2"/>
      <c r="K2" s="2"/>
      <c r="L2" s="2"/>
      <c r="M2" s="2"/>
      <c r="N2" s="2"/>
    </row>
    <row r="3" spans="1:14" ht="15">
      <c r="A3" s="41"/>
      <c r="B3" s="41"/>
      <c r="C3" s="41"/>
      <c r="D3" s="41"/>
      <c r="E3" s="41"/>
      <c r="F3" s="41"/>
      <c r="G3" s="41"/>
      <c r="H3" s="40"/>
      <c r="I3" s="40"/>
      <c r="J3" s="2"/>
      <c r="K3" s="2"/>
      <c r="L3" s="2"/>
      <c r="M3" s="2"/>
      <c r="N3" s="2"/>
    </row>
    <row r="4" spans="1:14" ht="15">
      <c r="A4" s="41" t="s">
        <v>235</v>
      </c>
      <c r="B4" s="41"/>
      <c r="C4" s="41"/>
      <c r="D4" s="41"/>
      <c r="E4" s="41"/>
      <c r="F4" s="41"/>
      <c r="G4" s="41"/>
      <c r="H4" s="40"/>
      <c r="I4" s="40"/>
      <c r="J4" s="2"/>
      <c r="K4" s="2"/>
      <c r="L4" s="2"/>
      <c r="M4" s="2"/>
      <c r="N4" s="2"/>
    </row>
    <row r="5" spans="1:14" ht="15">
      <c r="A5" s="41"/>
      <c r="B5" s="41" t="s">
        <v>31</v>
      </c>
      <c r="C5" s="41"/>
      <c r="D5" s="41"/>
      <c r="E5" s="41"/>
      <c r="F5" s="41"/>
      <c r="G5" s="78" t="s">
        <v>106</v>
      </c>
      <c r="H5" s="79"/>
      <c r="I5" s="40"/>
      <c r="J5" s="2"/>
      <c r="K5" s="2"/>
      <c r="L5" s="2"/>
      <c r="M5" s="2"/>
      <c r="N5" s="2"/>
    </row>
    <row r="6" spans="1:14" ht="15.75" thickBot="1">
      <c r="A6" s="41"/>
      <c r="B6" s="41"/>
      <c r="C6" s="41"/>
      <c r="D6" s="41"/>
      <c r="E6" s="41"/>
      <c r="F6" s="41"/>
      <c r="G6" s="41"/>
      <c r="H6" s="40"/>
      <c r="I6" s="40"/>
      <c r="J6" s="2"/>
      <c r="K6" s="2"/>
      <c r="L6" s="2"/>
      <c r="M6" s="2"/>
      <c r="N6" s="2"/>
    </row>
    <row r="7" spans="1:14" ht="15">
      <c r="A7" s="41"/>
      <c r="B7" s="42"/>
      <c r="C7" s="104" t="s">
        <v>2</v>
      </c>
      <c r="D7" s="104" t="s">
        <v>3</v>
      </c>
      <c r="E7" s="104" t="s">
        <v>4</v>
      </c>
      <c r="F7" s="104" t="s">
        <v>249</v>
      </c>
      <c r="G7" s="105" t="s">
        <v>232</v>
      </c>
      <c r="H7" s="40"/>
      <c r="I7" s="40"/>
      <c r="K7" s="6" t="s">
        <v>41</v>
      </c>
      <c r="L7" s="7">
        <f>D8/2</f>
        <v>0.0075</v>
      </c>
      <c r="M7" s="2"/>
      <c r="N7" s="2"/>
    </row>
    <row r="8" spans="1:14" ht="18.75">
      <c r="A8" s="41"/>
      <c r="B8" s="106" t="s">
        <v>2</v>
      </c>
      <c r="C8" s="43" t="s">
        <v>234</v>
      </c>
      <c r="D8" s="44">
        <v>0.015</v>
      </c>
      <c r="E8" s="45">
        <v>0.045</v>
      </c>
      <c r="F8" s="45">
        <v>0.143</v>
      </c>
      <c r="G8" s="98">
        <v>0.198</v>
      </c>
      <c r="H8" s="40"/>
      <c r="I8" s="40"/>
      <c r="J8"/>
      <c r="K8" s="16" t="s">
        <v>40</v>
      </c>
      <c r="L8" s="103">
        <f>ROUND(D8*2500,0)</f>
        <v>38</v>
      </c>
      <c r="M8" s="2"/>
      <c r="N8" s="2"/>
    </row>
    <row r="9" spans="1:14" ht="15">
      <c r="A9" s="41"/>
      <c r="B9" s="106" t="s">
        <v>3</v>
      </c>
      <c r="C9" s="46">
        <v>1</v>
      </c>
      <c r="D9" s="47" t="s">
        <v>234</v>
      </c>
      <c r="E9" s="47">
        <v>0.03</v>
      </c>
      <c r="F9" s="47">
        <v>0.126</v>
      </c>
      <c r="G9" s="99">
        <v>0.179</v>
      </c>
      <c r="H9" s="40"/>
      <c r="I9" s="40"/>
      <c r="L9" s="2"/>
      <c r="M9" s="2"/>
      <c r="N9" s="2"/>
    </row>
    <row r="10" spans="1:14" ht="15">
      <c r="A10" s="41"/>
      <c r="B10" s="106" t="s">
        <v>4</v>
      </c>
      <c r="C10" s="46">
        <v>3</v>
      </c>
      <c r="D10" s="47">
        <v>2</v>
      </c>
      <c r="E10" s="47" t="s">
        <v>234</v>
      </c>
      <c r="F10" s="47">
        <v>0.092</v>
      </c>
      <c r="G10" s="99">
        <v>0.179</v>
      </c>
      <c r="H10" s="40"/>
      <c r="I10" s="40"/>
      <c r="J10" s="2"/>
      <c r="K10" s="2"/>
      <c r="L10" s="2"/>
      <c r="M10" s="2"/>
      <c r="N10" s="2"/>
    </row>
    <row r="11" spans="1:14" ht="15">
      <c r="A11" s="41"/>
      <c r="B11" s="106" t="s">
        <v>101</v>
      </c>
      <c r="C11" s="46">
        <v>9</v>
      </c>
      <c r="D11" s="47">
        <v>8</v>
      </c>
      <c r="E11" s="47">
        <v>6</v>
      </c>
      <c r="F11" s="47" t="s">
        <v>234</v>
      </c>
      <c r="G11" s="99">
        <v>0.179</v>
      </c>
      <c r="H11" s="40"/>
      <c r="I11" s="40"/>
      <c r="J11" s="2"/>
      <c r="K11" s="2"/>
      <c r="L11" s="2"/>
      <c r="M11" s="2"/>
      <c r="N11" s="2"/>
    </row>
    <row r="12" spans="1:14" ht="15.75" thickBot="1">
      <c r="A12" s="41"/>
      <c r="B12" s="107" t="s">
        <v>232</v>
      </c>
      <c r="C12" s="100">
        <v>12</v>
      </c>
      <c r="D12" s="101">
        <v>11</v>
      </c>
      <c r="E12" s="101">
        <v>11</v>
      </c>
      <c r="F12" s="101">
        <v>11</v>
      </c>
      <c r="G12" s="102" t="s">
        <v>234</v>
      </c>
      <c r="H12" s="40"/>
      <c r="I12" s="40"/>
      <c r="J12" s="2"/>
      <c r="K12" s="2"/>
      <c r="L12" s="2"/>
      <c r="M12" s="2"/>
      <c r="N12" s="2"/>
    </row>
    <row r="13" spans="1:14" ht="15">
      <c r="A13" s="41"/>
      <c r="B13" s="41"/>
      <c r="C13" s="41"/>
      <c r="D13" s="41"/>
      <c r="E13" s="41"/>
      <c r="F13" s="41"/>
      <c r="G13" s="41"/>
      <c r="H13" s="40"/>
      <c r="I13" s="40"/>
      <c r="J13" s="2"/>
      <c r="K13" s="2"/>
      <c r="L13" s="2"/>
      <c r="M13" s="2"/>
      <c r="N13" s="2"/>
    </row>
    <row r="14" spans="1:11" ht="12.75">
      <c r="A14" t="s">
        <v>199</v>
      </c>
      <c r="B14" t="s">
        <v>199</v>
      </c>
      <c r="C14" t="s">
        <v>199</v>
      </c>
      <c r="D14" t="s">
        <v>199</v>
      </c>
      <c r="E14" t="s">
        <v>199</v>
      </c>
      <c r="F14" t="s">
        <v>199</v>
      </c>
      <c r="G14" t="s">
        <v>199</v>
      </c>
      <c r="H14" t="s">
        <v>199</v>
      </c>
      <c r="I14" t="s">
        <v>199</v>
      </c>
      <c r="J14" t="s">
        <v>199</v>
      </c>
      <c r="K14" t="s">
        <v>199</v>
      </c>
    </row>
    <row r="15" spans="1:14" ht="15">
      <c r="A15" s="2" t="s">
        <v>198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2" t="s">
        <v>250</v>
      </c>
      <c r="B17" s="2"/>
      <c r="C17" s="2"/>
      <c r="D17" s="2"/>
      <c r="E17" s="2"/>
      <c r="F17" s="2"/>
      <c r="G17" s="109" t="s">
        <v>179</v>
      </c>
      <c r="H17" s="109"/>
      <c r="I17" s="109"/>
      <c r="J17" s="109"/>
      <c r="K17" s="2"/>
      <c r="L17" s="2"/>
      <c r="M17" s="2"/>
      <c r="N17" s="2"/>
    </row>
    <row r="18" spans="1:14" ht="15">
      <c r="A18" s="2"/>
      <c r="B18" s="2" t="s">
        <v>251</v>
      </c>
      <c r="C18" s="2"/>
      <c r="D18" s="2"/>
      <c r="E18" s="2"/>
      <c r="F18" s="2"/>
      <c r="G18" s="2"/>
      <c r="H18" s="2"/>
      <c r="I18" s="2"/>
      <c r="K18" s="6" t="s">
        <v>41</v>
      </c>
      <c r="L18" s="7">
        <f>G20/2</f>
        <v>0.01875</v>
      </c>
      <c r="M18" s="2"/>
      <c r="N18" s="2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K19" s="16" t="s">
        <v>40</v>
      </c>
      <c r="L19" s="103">
        <f>ROUND(G20*2500,0)</f>
        <v>94</v>
      </c>
      <c r="M19" s="2"/>
      <c r="N19" s="2"/>
    </row>
    <row r="20" spans="1:14" ht="15">
      <c r="A20" s="192" t="s">
        <v>94</v>
      </c>
      <c r="B20" s="192"/>
      <c r="C20" s="192"/>
      <c r="D20" s="193" t="s">
        <v>252</v>
      </c>
      <c r="E20" s="193"/>
      <c r="F20" s="192" t="s">
        <v>253</v>
      </c>
      <c r="G20" s="190">
        <f>(E8+E9)/2</f>
        <v>0.0375</v>
      </c>
      <c r="H20" s="2"/>
      <c r="I20" s="2"/>
      <c r="L20" s="2"/>
      <c r="M20" s="2"/>
      <c r="N20" s="2"/>
    </row>
    <row r="21" spans="1:14" ht="15">
      <c r="A21" s="192"/>
      <c r="B21" s="192"/>
      <c r="C21" s="192"/>
      <c r="D21" s="194">
        <v>2</v>
      </c>
      <c r="E21" s="194"/>
      <c r="F21" s="192"/>
      <c r="G21" s="190"/>
      <c r="H21" s="2"/>
      <c r="I21" s="2"/>
      <c r="J21" s="2"/>
      <c r="K21" s="2"/>
      <c r="L21" s="2"/>
      <c r="M21" s="2"/>
      <c r="N21" s="2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192" t="s">
        <v>95</v>
      </c>
      <c r="B23" s="192"/>
      <c r="C23" s="192"/>
      <c r="D23" s="193" t="s">
        <v>96</v>
      </c>
      <c r="E23" s="193"/>
      <c r="F23" s="192" t="s">
        <v>253</v>
      </c>
      <c r="G23" s="190">
        <f>(F8+F9)/2</f>
        <v>0.1345</v>
      </c>
      <c r="H23" s="2"/>
      <c r="I23" s="2"/>
      <c r="J23" s="2"/>
      <c r="K23" s="2"/>
      <c r="L23" s="2"/>
      <c r="M23" s="2"/>
      <c r="N23" s="2"/>
    </row>
    <row r="24" spans="1:14" ht="15">
      <c r="A24" s="192"/>
      <c r="B24" s="192"/>
      <c r="C24" s="192"/>
      <c r="D24" s="194">
        <v>2</v>
      </c>
      <c r="E24" s="194"/>
      <c r="F24" s="192"/>
      <c r="G24" s="190"/>
      <c r="H24" s="2"/>
      <c r="I24" s="2"/>
      <c r="J24" s="2"/>
      <c r="K24" s="2"/>
      <c r="L24" s="2"/>
      <c r="M24" s="2"/>
      <c r="N24" s="2"/>
    </row>
    <row r="25" spans="1:1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192" t="s">
        <v>97</v>
      </c>
      <c r="B26" s="192"/>
      <c r="C26" s="192"/>
      <c r="D26" s="193" t="s">
        <v>98</v>
      </c>
      <c r="E26" s="193"/>
      <c r="F26" s="192" t="s">
        <v>253</v>
      </c>
      <c r="G26" s="190">
        <f>(G8+G9)/2</f>
        <v>0.1885</v>
      </c>
      <c r="H26" s="2"/>
      <c r="I26" s="2"/>
      <c r="J26" s="2"/>
      <c r="K26" s="2"/>
      <c r="L26" s="2"/>
      <c r="M26" s="2"/>
      <c r="N26" s="2"/>
    </row>
    <row r="27" spans="1:14" ht="15">
      <c r="A27" s="192"/>
      <c r="B27" s="192"/>
      <c r="C27" s="192"/>
      <c r="D27" s="194">
        <v>2</v>
      </c>
      <c r="E27" s="194"/>
      <c r="F27" s="192"/>
      <c r="G27" s="190"/>
      <c r="H27" s="2"/>
      <c r="I27" s="2"/>
      <c r="J27" s="2"/>
      <c r="K27" s="2"/>
      <c r="L27" s="2"/>
      <c r="M27" s="2"/>
      <c r="N27" s="2"/>
    </row>
    <row r="28" spans="1:1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thickBot="1">
      <c r="A29" s="2" t="s">
        <v>99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>
      <c r="A30" s="2"/>
      <c r="B30" s="3"/>
      <c r="C30" s="4" t="s">
        <v>100</v>
      </c>
      <c r="D30" s="4" t="s">
        <v>4</v>
      </c>
      <c r="E30" s="4" t="s">
        <v>101</v>
      </c>
      <c r="F30" s="5" t="s">
        <v>232</v>
      </c>
      <c r="G30" s="2"/>
      <c r="H30" s="2"/>
      <c r="I30" s="2"/>
      <c r="J30" s="2"/>
      <c r="K30" s="2"/>
      <c r="L30" s="2"/>
      <c r="M30" s="2"/>
      <c r="N30" s="2"/>
    </row>
    <row r="31" spans="1:14" ht="18.75">
      <c r="A31" s="2"/>
      <c r="B31" s="8" t="s">
        <v>100</v>
      </c>
      <c r="C31" s="9" t="s">
        <v>234</v>
      </c>
      <c r="D31" s="10">
        <f>G20</f>
        <v>0.0375</v>
      </c>
      <c r="E31" s="11">
        <f>G23</f>
        <v>0.1345</v>
      </c>
      <c r="F31" s="12">
        <f>G26</f>
        <v>0.1885</v>
      </c>
      <c r="G31" s="2"/>
      <c r="H31" s="2"/>
      <c r="I31" s="2"/>
      <c r="J31" s="2"/>
      <c r="K31" s="2"/>
      <c r="L31" s="2"/>
      <c r="M31" s="2"/>
      <c r="N31" s="2"/>
    </row>
    <row r="32" spans="1:14" ht="15">
      <c r="A32" s="2"/>
      <c r="B32" s="8" t="s">
        <v>4</v>
      </c>
      <c r="C32" s="13"/>
      <c r="D32" s="14" t="s">
        <v>234</v>
      </c>
      <c r="E32" s="14">
        <f>F10</f>
        <v>0.092</v>
      </c>
      <c r="F32" s="15">
        <f>G10</f>
        <v>0.179</v>
      </c>
      <c r="G32" s="2"/>
      <c r="H32" s="2"/>
      <c r="I32" s="2"/>
      <c r="J32" s="2"/>
      <c r="K32" s="2"/>
      <c r="L32" s="2"/>
      <c r="M32" s="2"/>
      <c r="N32" s="2"/>
    </row>
    <row r="33" spans="1:14" ht="15">
      <c r="A33" s="2"/>
      <c r="B33" s="8" t="s">
        <v>101</v>
      </c>
      <c r="C33" s="13"/>
      <c r="D33" s="14"/>
      <c r="E33" s="14" t="s">
        <v>234</v>
      </c>
      <c r="F33" s="15">
        <f>G11</f>
        <v>0.179</v>
      </c>
      <c r="G33" s="2"/>
      <c r="H33" s="2"/>
      <c r="I33" s="2"/>
      <c r="J33" s="2"/>
      <c r="K33" s="2"/>
      <c r="L33" s="2"/>
      <c r="M33" s="2"/>
      <c r="N33" s="2"/>
    </row>
    <row r="34" spans="1:14" ht="15.75" thickBot="1">
      <c r="A34" s="2"/>
      <c r="B34" s="17" t="s">
        <v>232</v>
      </c>
      <c r="C34" s="21"/>
      <c r="D34" s="22"/>
      <c r="E34" s="22"/>
      <c r="F34" s="23" t="s">
        <v>234</v>
      </c>
      <c r="G34" s="2"/>
      <c r="H34" s="2"/>
      <c r="I34" s="2"/>
      <c r="J34" s="2"/>
      <c r="K34" s="2"/>
      <c r="L34" s="2"/>
      <c r="M34" s="2"/>
      <c r="N34" s="2"/>
    </row>
    <row r="35" spans="1:1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>
      <c r="A36" s="2" t="s">
        <v>262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>
      <c r="A37" s="2"/>
      <c r="B37" s="2" t="s">
        <v>60</v>
      </c>
      <c r="C37" s="2"/>
      <c r="D37" s="2"/>
      <c r="E37" s="2"/>
      <c r="F37" s="2"/>
      <c r="G37" s="2"/>
      <c r="H37" s="2"/>
      <c r="I37" s="2"/>
      <c r="J37"/>
      <c r="K37" s="6" t="s">
        <v>41</v>
      </c>
      <c r="L37" s="7">
        <f>G39/2</f>
        <v>0.06016666666666667</v>
      </c>
      <c r="M37" s="2"/>
      <c r="N37" s="2"/>
    </row>
    <row r="38" spans="1:14" ht="15">
      <c r="A38" s="2"/>
      <c r="B38" s="2"/>
      <c r="C38" s="2"/>
      <c r="D38" s="2"/>
      <c r="E38" s="2"/>
      <c r="F38" s="2"/>
      <c r="G38" s="2"/>
      <c r="H38" s="2"/>
      <c r="I38" s="2"/>
      <c r="J38"/>
      <c r="K38" s="16" t="s">
        <v>40</v>
      </c>
      <c r="L38" s="103">
        <f>ROUND(G39*2500,0)</f>
        <v>301</v>
      </c>
      <c r="M38" s="2"/>
      <c r="N38" s="2"/>
    </row>
    <row r="39" spans="1:14" ht="15">
      <c r="A39" s="192" t="s">
        <v>63</v>
      </c>
      <c r="B39" s="192"/>
      <c r="C39" s="192"/>
      <c r="D39" s="193" t="s">
        <v>61</v>
      </c>
      <c r="E39" s="193"/>
      <c r="F39" s="192" t="s">
        <v>253</v>
      </c>
      <c r="G39" s="190">
        <f>(F8+F9+F10)/3</f>
        <v>0.12033333333333333</v>
      </c>
      <c r="H39" s="2"/>
      <c r="I39" s="2"/>
      <c r="J39"/>
      <c r="L39" s="2"/>
      <c r="M39" s="2"/>
      <c r="N39" s="2"/>
    </row>
    <row r="40" spans="1:14" ht="15">
      <c r="A40" s="192"/>
      <c r="B40" s="192"/>
      <c r="C40" s="192"/>
      <c r="D40" s="194">
        <v>3</v>
      </c>
      <c r="E40" s="194"/>
      <c r="F40" s="192"/>
      <c r="G40" s="190"/>
      <c r="H40" s="2"/>
      <c r="I40" s="2"/>
      <c r="J40"/>
      <c r="K40" s="2"/>
      <c r="L40" s="2"/>
      <c r="M40" s="2"/>
      <c r="N40" s="2"/>
    </row>
    <row r="41" spans="1:14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>
      <c r="A42" s="192" t="s">
        <v>64</v>
      </c>
      <c r="B42" s="192"/>
      <c r="C42" s="192"/>
      <c r="D42" s="193" t="s">
        <v>62</v>
      </c>
      <c r="E42" s="193"/>
      <c r="F42" s="192" t="s">
        <v>253</v>
      </c>
      <c r="G42" s="190">
        <f>(G8+G9+G10)/3</f>
        <v>0.18533333333333335</v>
      </c>
      <c r="H42" s="2"/>
      <c r="I42" s="2"/>
      <c r="J42" s="2"/>
      <c r="K42" s="2"/>
      <c r="L42" s="2"/>
      <c r="M42" s="2"/>
      <c r="N42" s="2"/>
    </row>
    <row r="43" spans="1:14" ht="15">
      <c r="A43" s="192"/>
      <c r="B43" s="192"/>
      <c r="C43" s="192"/>
      <c r="D43" s="194">
        <v>3</v>
      </c>
      <c r="E43" s="194"/>
      <c r="F43" s="192"/>
      <c r="G43" s="190"/>
      <c r="H43" s="2"/>
      <c r="I43" s="2"/>
      <c r="J43" s="2"/>
      <c r="K43" s="2"/>
      <c r="L43" s="2"/>
      <c r="M43" s="2"/>
      <c r="N43" s="2"/>
    </row>
    <row r="44" spans="1:14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 thickBot="1">
      <c r="A45" s="2" t="s">
        <v>99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>
      <c r="A46" s="2"/>
      <c r="B46" s="3"/>
      <c r="C46" s="24" t="s">
        <v>67</v>
      </c>
      <c r="D46" s="4" t="s">
        <v>101</v>
      </c>
      <c r="E46" s="5" t="s">
        <v>232</v>
      </c>
      <c r="F46" s="2"/>
      <c r="G46" s="2"/>
      <c r="H46" s="2"/>
      <c r="I46" s="2"/>
      <c r="J46" s="2"/>
      <c r="K46" s="2"/>
      <c r="L46" s="2"/>
      <c r="M46" s="2"/>
      <c r="N46" s="2"/>
    </row>
    <row r="47" spans="1:14" ht="18.75">
      <c r="A47" s="2"/>
      <c r="B47" s="8" t="s">
        <v>68</v>
      </c>
      <c r="C47" s="9" t="s">
        <v>234</v>
      </c>
      <c r="D47" s="10">
        <f>G39</f>
        <v>0.12033333333333333</v>
      </c>
      <c r="E47" s="12">
        <f>G42</f>
        <v>0.18533333333333335</v>
      </c>
      <c r="F47" s="2"/>
      <c r="G47" s="2"/>
      <c r="H47" s="2"/>
      <c r="I47" s="2"/>
      <c r="J47" s="2"/>
      <c r="K47" s="2"/>
      <c r="L47" s="2"/>
      <c r="M47" s="2"/>
      <c r="N47" s="2"/>
    </row>
    <row r="48" spans="1:14" ht="15">
      <c r="A48" s="2"/>
      <c r="B48" s="8" t="s">
        <v>101</v>
      </c>
      <c r="C48" s="13"/>
      <c r="D48" s="14" t="s">
        <v>234</v>
      </c>
      <c r="E48" s="15">
        <f>G11</f>
        <v>0.179</v>
      </c>
      <c r="F48" s="2"/>
      <c r="G48" s="2"/>
      <c r="H48" s="2"/>
      <c r="I48" s="2"/>
      <c r="J48" s="2"/>
      <c r="K48" s="2"/>
      <c r="L48" s="2"/>
      <c r="M48" s="2"/>
      <c r="N48" s="2"/>
    </row>
    <row r="49" spans="1:14" ht="15.75" thickBot="1">
      <c r="A49" s="2"/>
      <c r="B49" s="17" t="s">
        <v>232</v>
      </c>
      <c r="C49" s="18"/>
      <c r="D49" s="19"/>
      <c r="E49" s="20" t="s">
        <v>234</v>
      </c>
      <c r="F49" s="2"/>
      <c r="G49" s="2"/>
      <c r="H49" s="2"/>
      <c r="I49" s="2"/>
      <c r="J49" s="2"/>
      <c r="K49" s="2"/>
      <c r="L49" s="2"/>
      <c r="M49" s="2"/>
      <c r="N49" s="2"/>
    </row>
    <row r="50" spans="1:1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>
      <c r="A51" s="2" t="s">
        <v>65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>
      <c r="A52" s="2"/>
      <c r="B52" s="2" t="s">
        <v>66</v>
      </c>
      <c r="C52" s="2"/>
      <c r="D52" s="2"/>
      <c r="E52" s="2"/>
      <c r="F52" s="2"/>
      <c r="G52" s="2"/>
      <c r="H52" s="2"/>
      <c r="I52" s="2"/>
      <c r="J52"/>
      <c r="K52" s="6" t="s">
        <v>41</v>
      </c>
      <c r="L52" s="7">
        <f>H54/2</f>
        <v>0.09187500000000001</v>
      </c>
      <c r="M52" s="2"/>
      <c r="N52" s="2"/>
    </row>
    <row r="53" spans="1:14" ht="15">
      <c r="A53" s="2"/>
      <c r="B53" s="2"/>
      <c r="C53" s="2"/>
      <c r="D53" s="2"/>
      <c r="E53" s="2"/>
      <c r="F53" s="2"/>
      <c r="G53" s="2"/>
      <c r="H53" s="25"/>
      <c r="I53" s="2"/>
      <c r="J53"/>
      <c r="K53" s="16" t="s">
        <v>40</v>
      </c>
      <c r="L53" s="103">
        <f>ROUND(H54*10000/4,0)</f>
        <v>459</v>
      </c>
      <c r="M53" s="2"/>
      <c r="N53" s="2"/>
    </row>
    <row r="54" spans="1:14" ht="19.5" customHeight="1">
      <c r="A54" s="192" t="s">
        <v>37</v>
      </c>
      <c r="B54" s="192"/>
      <c r="C54" s="192"/>
      <c r="D54" s="193" t="s">
        <v>38</v>
      </c>
      <c r="E54" s="193"/>
      <c r="F54" s="193"/>
      <c r="G54" s="192" t="s">
        <v>253</v>
      </c>
      <c r="H54" s="191">
        <f>(G8+G9+G10+G11)/4</f>
        <v>0.18375000000000002</v>
      </c>
      <c r="I54" s="2"/>
      <c r="L54" s="2"/>
      <c r="M54" s="2"/>
      <c r="N54" s="2"/>
    </row>
    <row r="55" spans="1:14" ht="19.5" customHeight="1">
      <c r="A55" s="192"/>
      <c r="B55" s="192"/>
      <c r="C55" s="192"/>
      <c r="D55" s="194">
        <v>4</v>
      </c>
      <c r="E55" s="194"/>
      <c r="F55" s="194"/>
      <c r="G55" s="192"/>
      <c r="H55" s="191"/>
      <c r="I55" s="2"/>
      <c r="J55" s="2"/>
      <c r="K55" s="2"/>
      <c r="L55" s="2"/>
      <c r="M55" s="2"/>
      <c r="N55" s="2"/>
    </row>
    <row r="56" spans="1:14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2" t="s">
        <v>42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>
      <c r="A58" s="2"/>
      <c r="B58" s="2" t="s">
        <v>43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>
      <c r="A59" s="2"/>
      <c r="B59" s="2" t="s">
        <v>39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>
      <c r="A61" s="2" t="s">
        <v>254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>
      <c r="A62" s="2"/>
      <c r="B62" s="2" t="s">
        <v>122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8">
      <c r="A63" s="2" t="s">
        <v>161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2:14" ht="18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8">
      <c r="A81" s="2" t="s">
        <v>162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8">
      <c r="A99" s="2" t="s">
        <v>242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2:14" ht="15">
      <c r="B100" s="2" t="s">
        <v>123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>
      <c r="A101" s="2"/>
      <c r="B101" s="2" t="s">
        <v>124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>
      <c r="A102" s="2"/>
      <c r="B102" s="2" t="s">
        <v>44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0" ht="15">
      <c r="A104" s="1" t="s">
        <v>45</v>
      </c>
      <c r="B104" s="1" t="s">
        <v>45</v>
      </c>
      <c r="C104" s="1" t="s">
        <v>45</v>
      </c>
      <c r="D104" s="1" t="s">
        <v>45</v>
      </c>
      <c r="E104" s="1" t="s">
        <v>45</v>
      </c>
      <c r="F104" s="1" t="s">
        <v>45</v>
      </c>
      <c r="G104" s="1" t="s">
        <v>45</v>
      </c>
      <c r="H104" s="1" t="s">
        <v>45</v>
      </c>
      <c r="I104" s="1" t="s">
        <v>45</v>
      </c>
      <c r="J104" s="1" t="s">
        <v>45</v>
      </c>
    </row>
    <row r="106" spans="1:14" ht="15">
      <c r="A106" s="26" t="s">
        <v>46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ht="15">
      <c r="A108" s="26" t="s">
        <v>219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ht="15">
      <c r="A109" s="26"/>
      <c r="B109" s="26" t="s">
        <v>47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ht="15">
      <c r="A110" s="26"/>
      <c r="B110" s="77" t="s">
        <v>105</v>
      </c>
      <c r="C110" s="77"/>
      <c r="D110" s="77"/>
      <c r="E110" s="77"/>
      <c r="F110" s="77"/>
      <c r="G110" s="77"/>
      <c r="H110" s="77"/>
      <c r="I110" s="77"/>
      <c r="J110" s="77"/>
      <c r="K110" s="26"/>
      <c r="L110" s="26"/>
      <c r="M110" s="26"/>
      <c r="N110" s="26"/>
    </row>
    <row r="111" spans="1:14" ht="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ht="18">
      <c r="A112" s="26" t="s">
        <v>163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ht="18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ht="18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ht="18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ht="18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ht="18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ht="18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ht="18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ht="18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ht="18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ht="18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ht="18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ht="18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ht="18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ht="18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ht="18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ht="18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ht="1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ht="15">
      <c r="A130" s="187" t="s">
        <v>50</v>
      </c>
      <c r="B130" s="187" t="s">
        <v>253</v>
      </c>
      <c r="C130" s="187" t="s">
        <v>48</v>
      </c>
      <c r="D130" s="187" t="s">
        <v>52</v>
      </c>
      <c r="E130" s="186" t="s">
        <v>49</v>
      </c>
      <c r="F130" s="186"/>
      <c r="G130" s="186"/>
      <c r="H130" s="187" t="s">
        <v>253</v>
      </c>
      <c r="I130" s="187">
        <f>(E8+F8+G8)/3</f>
        <v>0.12866666666666668</v>
      </c>
      <c r="J130" s="26"/>
      <c r="K130" s="26"/>
      <c r="L130" s="26"/>
      <c r="M130" s="26"/>
      <c r="N130" s="26"/>
    </row>
    <row r="131" spans="1:14" ht="15">
      <c r="A131" s="187"/>
      <c r="B131" s="187"/>
      <c r="C131" s="187"/>
      <c r="D131" s="187"/>
      <c r="E131" s="189">
        <v>3</v>
      </c>
      <c r="F131" s="189"/>
      <c r="G131" s="189"/>
      <c r="H131" s="187"/>
      <c r="I131" s="187"/>
      <c r="J131" s="26"/>
      <c r="K131" s="26"/>
      <c r="L131" s="26"/>
      <c r="M131" s="26"/>
      <c r="N131" s="26"/>
    </row>
    <row r="132" spans="1:14" ht="1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ht="15">
      <c r="A133" s="187" t="s">
        <v>51</v>
      </c>
      <c r="B133" s="187" t="s">
        <v>253</v>
      </c>
      <c r="C133" s="187" t="s">
        <v>194</v>
      </c>
      <c r="D133" s="187" t="s">
        <v>195</v>
      </c>
      <c r="E133" s="186" t="s">
        <v>196</v>
      </c>
      <c r="F133" s="186"/>
      <c r="G133" s="186"/>
      <c r="H133" s="187" t="s">
        <v>253</v>
      </c>
      <c r="I133" s="187">
        <f>(E9+F9+G9)/3</f>
        <v>0.11166666666666665</v>
      </c>
      <c r="J133" s="26"/>
      <c r="K133" s="26"/>
      <c r="L133" s="26"/>
      <c r="M133" s="26"/>
      <c r="N133" s="26"/>
    </row>
    <row r="134" spans="1:14" ht="15">
      <c r="A134" s="187"/>
      <c r="B134" s="187"/>
      <c r="C134" s="187"/>
      <c r="D134" s="187"/>
      <c r="E134" s="189">
        <v>3</v>
      </c>
      <c r="F134" s="189"/>
      <c r="G134" s="189"/>
      <c r="H134" s="187"/>
      <c r="I134" s="187"/>
      <c r="J134" s="26"/>
      <c r="K134" s="26"/>
      <c r="L134" s="26"/>
      <c r="M134" s="26"/>
      <c r="N134" s="26"/>
    </row>
    <row r="135" spans="1:14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ht="15">
      <c r="A136" s="187" t="s">
        <v>197</v>
      </c>
      <c r="B136" s="187" t="s">
        <v>253</v>
      </c>
      <c r="C136" s="187" t="s">
        <v>229</v>
      </c>
      <c r="D136" s="187">
        <f>D8</f>
        <v>0.015</v>
      </c>
      <c r="E136" s="29"/>
      <c r="F136" s="29"/>
      <c r="G136" s="29"/>
      <c r="H136" s="29"/>
      <c r="I136" s="29"/>
      <c r="J136" s="26"/>
      <c r="K136" s="26"/>
      <c r="L136" s="26"/>
      <c r="M136" s="26"/>
      <c r="N136" s="26"/>
    </row>
    <row r="137" spans="1:14" ht="15">
      <c r="A137" s="187"/>
      <c r="B137" s="187"/>
      <c r="C137" s="187"/>
      <c r="D137" s="187"/>
      <c r="E137" s="29"/>
      <c r="F137" s="29"/>
      <c r="G137" s="29"/>
      <c r="H137" s="29"/>
      <c r="I137" s="29"/>
      <c r="J137" s="26"/>
      <c r="K137" s="26"/>
      <c r="L137" s="26"/>
      <c r="M137" s="26"/>
      <c r="N137" s="26"/>
    </row>
    <row r="138" spans="1:14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4" ht="15">
      <c r="A139" s="26" t="s">
        <v>145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1:14" ht="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1:14" ht="15">
      <c r="A141" s="26"/>
      <c r="B141" s="30" t="s">
        <v>146</v>
      </c>
      <c r="C141" s="26" t="s">
        <v>147</v>
      </c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1:14" ht="15">
      <c r="A142" s="26"/>
      <c r="B142" s="30" t="s">
        <v>148</v>
      </c>
      <c r="C142" s="26" t="s">
        <v>149</v>
      </c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ht="15">
      <c r="A143" s="26" t="s">
        <v>151</v>
      </c>
      <c r="B143" s="26" t="s">
        <v>150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1:14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1:14" ht="15">
      <c r="A145" s="26" t="s">
        <v>151</v>
      </c>
      <c r="B145" s="30" t="s">
        <v>152</v>
      </c>
      <c r="C145" s="189" t="s">
        <v>153</v>
      </c>
      <c r="D145" s="189"/>
      <c r="E145" s="189"/>
      <c r="F145" s="31">
        <f>I130+I133-D136</f>
        <v>0.22533333333333333</v>
      </c>
      <c r="G145" s="26"/>
      <c r="H145" s="26"/>
      <c r="I145" s="26"/>
      <c r="J145" s="26"/>
      <c r="K145" s="26"/>
      <c r="L145" s="26"/>
      <c r="M145" s="26"/>
      <c r="N145" s="26"/>
    </row>
    <row r="146" spans="1:14" ht="1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1:14" ht="15">
      <c r="A147" s="26"/>
      <c r="B147" s="32" t="s">
        <v>154</v>
      </c>
      <c r="C147" s="80">
        <f>F145/2</f>
        <v>0.11266666666666666</v>
      </c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1:14" ht="15">
      <c r="A148" s="26"/>
      <c r="B148" s="34" t="s">
        <v>146</v>
      </c>
      <c r="C148" s="81">
        <f>I130-C147</f>
        <v>0.016000000000000014</v>
      </c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1:14" ht="15">
      <c r="A149" s="26"/>
      <c r="B149" s="36" t="s">
        <v>148</v>
      </c>
      <c r="C149" s="82">
        <f>I133-C147</f>
        <v>-0.0010000000000000148</v>
      </c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1:14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5">
      <c r="A151" s="26" t="s">
        <v>257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1:14" ht="15">
      <c r="A152" s="26"/>
      <c r="B152" s="26" t="s">
        <v>173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1:14" ht="15">
      <c r="A153" s="26"/>
      <c r="B153" s="26" t="s">
        <v>258</v>
      </c>
      <c r="C153" s="26"/>
      <c r="D153" s="26"/>
      <c r="E153" s="26"/>
      <c r="F153" s="26"/>
      <c r="G153" s="83">
        <f>(C148+C149)/2</f>
        <v>0.0075</v>
      </c>
      <c r="I153" s="26"/>
      <c r="J153" s="26"/>
      <c r="K153" s="26"/>
      <c r="L153" s="26"/>
      <c r="M153" s="26"/>
      <c r="N153" s="26"/>
    </row>
    <row r="154" spans="1:14" ht="1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</row>
    <row r="155" spans="1:14" ht="15">
      <c r="A155" s="26" t="s">
        <v>155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</row>
    <row r="156" spans="1:14" ht="15">
      <c r="A156" s="26"/>
      <c r="B156" s="26" t="s">
        <v>156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</row>
    <row r="157" spans="1:14" ht="15">
      <c r="A157" s="26"/>
      <c r="B157" s="26" t="s">
        <v>174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1:14" ht="1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</row>
    <row r="159" spans="1:14" ht="15">
      <c r="A159" s="83" t="s">
        <v>35</v>
      </c>
      <c r="B159" s="26" t="s">
        <v>32</v>
      </c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</row>
    <row r="160" spans="1:14" ht="15">
      <c r="A160" s="26"/>
      <c r="B160" s="26"/>
      <c r="C160" s="26" t="s">
        <v>36</v>
      </c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4" ht="15">
      <c r="A161" s="26"/>
      <c r="B161" s="26"/>
      <c r="C161" s="26" t="s">
        <v>33</v>
      </c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1:14" ht="15">
      <c r="A162" s="26" t="s">
        <v>164</v>
      </c>
      <c r="B162" s="26"/>
      <c r="C162" s="26" t="s">
        <v>34</v>
      </c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1:14" ht="18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1:14" ht="18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1:14" ht="18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1:14" ht="18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1:14" ht="18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1:14" ht="18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1:14" ht="18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1:14" ht="18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1:14" ht="18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1:14" ht="18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1:14" ht="18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1:14" ht="18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1:14" ht="18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1:14" ht="18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1:14" ht="18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1:14" ht="18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1:14" ht="18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1:14" ht="18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1:14" ht="18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1:14" ht="18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1:14" ht="18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1:14" ht="18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1:14" ht="18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1:14" ht="18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1:14" ht="18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1:14" ht="18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1:14" ht="18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1:14" ht="18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1:14" ht="18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 ht="18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ht="18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 ht="18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ht="18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 ht="18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1:14" ht="15">
      <c r="A197" s="26"/>
      <c r="B197" s="26"/>
      <c r="C197" s="26"/>
      <c r="D197" s="26"/>
      <c r="E197" s="26" t="s">
        <v>80</v>
      </c>
      <c r="F197" s="26"/>
      <c r="G197" s="26"/>
      <c r="H197" s="26" t="s">
        <v>81</v>
      </c>
      <c r="I197" s="26"/>
      <c r="J197" s="26"/>
      <c r="K197" s="26"/>
      <c r="L197" s="26"/>
      <c r="M197" s="26"/>
      <c r="N197" s="26"/>
    </row>
    <row r="198" spans="1:14" ht="15">
      <c r="A198" s="187" t="s">
        <v>175</v>
      </c>
      <c r="B198" s="187" t="s">
        <v>253</v>
      </c>
      <c r="C198" s="187" t="s">
        <v>177</v>
      </c>
      <c r="D198" s="187" t="s">
        <v>176</v>
      </c>
      <c r="E198" s="186" t="s">
        <v>79</v>
      </c>
      <c r="F198" s="186"/>
      <c r="G198" s="186"/>
      <c r="H198" s="186"/>
      <c r="I198" s="187" t="s">
        <v>253</v>
      </c>
      <c r="J198" s="187">
        <f>(F8+G8+F9+G9)/4</f>
        <v>0.16149999999999998</v>
      </c>
      <c r="K198" s="26"/>
      <c r="L198" s="26"/>
      <c r="M198" s="26"/>
      <c r="N198" s="26"/>
    </row>
    <row r="199" spans="1:14" ht="15">
      <c r="A199" s="187"/>
      <c r="B199" s="187"/>
      <c r="C199" s="187"/>
      <c r="D199" s="187"/>
      <c r="E199" s="189">
        <v>4</v>
      </c>
      <c r="F199" s="189"/>
      <c r="G199" s="189"/>
      <c r="H199" s="189"/>
      <c r="I199" s="187"/>
      <c r="J199" s="187"/>
      <c r="K199" s="26"/>
      <c r="L199" s="26"/>
      <c r="M199" s="26"/>
      <c r="N199" s="26"/>
    </row>
    <row r="200" spans="1:14" ht="15">
      <c r="A200" s="26"/>
      <c r="B200" s="26"/>
      <c r="C200" s="26"/>
      <c r="D200" s="26"/>
      <c r="E200" s="26" t="s">
        <v>70</v>
      </c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1:14" ht="15">
      <c r="A201" s="187" t="s">
        <v>230</v>
      </c>
      <c r="B201" s="187" t="s">
        <v>253</v>
      </c>
      <c r="C201" s="187" t="s">
        <v>78</v>
      </c>
      <c r="D201" s="187" t="s">
        <v>178</v>
      </c>
      <c r="E201" s="38" t="s">
        <v>77</v>
      </c>
      <c r="F201" s="38"/>
      <c r="G201" s="187" t="s">
        <v>253</v>
      </c>
      <c r="H201" s="187">
        <f>(F10+G10)/2</f>
        <v>0.1355</v>
      </c>
      <c r="I201" s="26"/>
      <c r="J201" s="26"/>
      <c r="K201" s="26"/>
      <c r="L201" s="26"/>
      <c r="M201" s="26"/>
      <c r="N201" s="26"/>
    </row>
    <row r="202" spans="1:14" ht="15">
      <c r="A202" s="187"/>
      <c r="B202" s="187"/>
      <c r="C202" s="187"/>
      <c r="D202" s="187"/>
      <c r="E202" s="189">
        <v>2</v>
      </c>
      <c r="F202" s="189"/>
      <c r="G202" s="187"/>
      <c r="H202" s="187"/>
      <c r="I202" s="26"/>
      <c r="J202" s="26"/>
      <c r="K202" s="26"/>
      <c r="L202" s="26"/>
      <c r="M202" s="26"/>
      <c r="N202" s="26"/>
    </row>
    <row r="203" spans="1:14" ht="15">
      <c r="A203" s="26"/>
      <c r="B203" s="26"/>
      <c r="C203" s="26"/>
      <c r="D203" s="26" t="s">
        <v>72</v>
      </c>
      <c r="E203" s="26"/>
      <c r="F203" s="26"/>
      <c r="G203" s="26"/>
      <c r="H203" s="26"/>
      <c r="I203" s="26"/>
      <c r="J203" s="26"/>
      <c r="K203" s="26"/>
      <c r="L203" s="26"/>
      <c r="M203" s="26"/>
      <c r="N203" s="26"/>
    </row>
    <row r="204" spans="1:14" ht="15">
      <c r="A204" s="187" t="s">
        <v>231</v>
      </c>
      <c r="B204" s="187" t="s">
        <v>253</v>
      </c>
      <c r="C204" s="187" t="s">
        <v>71</v>
      </c>
      <c r="D204" s="186" t="s">
        <v>76</v>
      </c>
      <c r="E204" s="186"/>
      <c r="F204" s="187" t="s">
        <v>253</v>
      </c>
      <c r="G204" s="187">
        <f>(E8+E9)/2</f>
        <v>0.0375</v>
      </c>
      <c r="I204" s="29"/>
      <c r="J204" s="26"/>
      <c r="K204" s="26"/>
      <c r="L204" s="26"/>
      <c r="M204" s="26"/>
      <c r="N204" s="26"/>
    </row>
    <row r="205" spans="1:14" ht="15">
      <c r="A205" s="187"/>
      <c r="B205" s="187"/>
      <c r="C205" s="187"/>
      <c r="D205" s="189">
        <v>2</v>
      </c>
      <c r="E205" s="189"/>
      <c r="F205" s="187"/>
      <c r="G205" s="187"/>
      <c r="I205" s="29"/>
      <c r="J205" s="26"/>
      <c r="K205" s="26"/>
      <c r="L205" s="26"/>
      <c r="M205" s="26"/>
      <c r="N205" s="26"/>
    </row>
    <row r="206" spans="1:14" ht="15">
      <c r="A206" s="26"/>
      <c r="B206" s="26"/>
      <c r="C206" s="26"/>
      <c r="D206" s="26"/>
      <c r="E206" s="26"/>
      <c r="F206" s="26"/>
      <c r="G206" s="26"/>
      <c r="I206" s="26"/>
      <c r="J206" s="26"/>
      <c r="K206" s="26"/>
      <c r="L206" s="26"/>
      <c r="M206" s="26"/>
      <c r="N206" s="26"/>
    </row>
    <row r="207" spans="1:14" ht="15">
      <c r="A207" s="26" t="s">
        <v>239</v>
      </c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</row>
    <row r="208" spans="1:14" ht="1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ht="15">
      <c r="A209" s="26"/>
      <c r="B209" s="30" t="s">
        <v>73</v>
      </c>
      <c r="C209" s="26" t="s">
        <v>244</v>
      </c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1:14" ht="15">
      <c r="A210" s="26"/>
      <c r="B210" s="30" t="s">
        <v>240</v>
      </c>
      <c r="C210" s="26" t="s">
        <v>243</v>
      </c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</row>
    <row r="211" spans="1:14" ht="15">
      <c r="A211" s="26" t="s">
        <v>151</v>
      </c>
      <c r="B211" s="26" t="s">
        <v>245</v>
      </c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</row>
    <row r="212" spans="1:14" ht="1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1:14" ht="15">
      <c r="A213" s="26" t="s">
        <v>151</v>
      </c>
      <c r="B213" s="30" t="s">
        <v>152</v>
      </c>
      <c r="C213" s="189" t="s">
        <v>214</v>
      </c>
      <c r="D213" s="189"/>
      <c r="E213" s="189"/>
      <c r="F213" s="31">
        <f>J198-G204+H201</f>
        <v>0.25949999999999995</v>
      </c>
      <c r="G213" s="26"/>
      <c r="H213" s="26"/>
      <c r="I213" s="26"/>
      <c r="J213" s="26"/>
      <c r="K213" s="26"/>
      <c r="L213" s="26"/>
      <c r="M213" s="26"/>
      <c r="N213" s="26"/>
    </row>
    <row r="214" spans="1:14" ht="1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1:14" ht="15">
      <c r="A215" s="26"/>
      <c r="B215" s="32" t="s">
        <v>154</v>
      </c>
      <c r="C215" s="33">
        <f>F213/2</f>
        <v>0.12974999999999998</v>
      </c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1:14" ht="15">
      <c r="A216" s="26"/>
      <c r="B216" s="34" t="s">
        <v>73</v>
      </c>
      <c r="C216" s="35">
        <f>J198-C215</f>
        <v>0.03175</v>
      </c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1:14" ht="15">
      <c r="A217" s="26"/>
      <c r="B217" s="36" t="s">
        <v>240</v>
      </c>
      <c r="C217" s="37">
        <f>H201-C215</f>
        <v>0.005750000000000033</v>
      </c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1:14" ht="1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ht="15">
      <c r="A219" s="187" t="s">
        <v>220</v>
      </c>
      <c r="B219" s="187"/>
      <c r="C219" s="187"/>
      <c r="D219" s="27" t="s">
        <v>231</v>
      </c>
      <c r="E219" s="187" t="s">
        <v>253</v>
      </c>
      <c r="F219" s="187">
        <f>(C216+C217)/2</f>
        <v>0.018750000000000017</v>
      </c>
      <c r="G219" s="26"/>
      <c r="H219" s="26"/>
      <c r="I219" s="26"/>
      <c r="J219" s="26"/>
      <c r="K219" s="26"/>
      <c r="L219" s="26"/>
      <c r="M219" s="26"/>
      <c r="N219" s="26"/>
    </row>
    <row r="220" spans="1:14" ht="15">
      <c r="A220" s="187"/>
      <c r="B220" s="187"/>
      <c r="C220" s="187"/>
      <c r="D220" s="28">
        <v>2</v>
      </c>
      <c r="E220" s="187"/>
      <c r="F220" s="187"/>
      <c r="G220" s="26"/>
      <c r="H220" s="26"/>
      <c r="I220" s="26"/>
      <c r="J220" s="26"/>
      <c r="K220" s="26"/>
      <c r="L220" s="26"/>
      <c r="M220" s="26"/>
      <c r="N220" s="26"/>
    </row>
    <row r="221" spans="1:14" ht="1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ht="15">
      <c r="A222" s="26" t="s">
        <v>221</v>
      </c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</row>
    <row r="223" spans="1:14" ht="15">
      <c r="A223" s="26"/>
      <c r="B223" s="26" t="s">
        <v>222</v>
      </c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</row>
    <row r="224" spans="1:14" ht="15">
      <c r="A224" s="26"/>
      <c r="B224" s="26" t="s">
        <v>223</v>
      </c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</row>
    <row r="225" spans="1:14" ht="15">
      <c r="A225" s="26"/>
      <c r="B225" s="26"/>
      <c r="C225" s="26" t="s">
        <v>224</v>
      </c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</row>
    <row r="226" spans="1:14" ht="15">
      <c r="A226" s="26"/>
      <c r="B226" s="26"/>
      <c r="C226" s="26" t="s">
        <v>225</v>
      </c>
      <c r="D226" s="26"/>
      <c r="E226" s="26"/>
      <c r="F226" s="26"/>
      <c r="G226" s="26"/>
      <c r="H226" s="83">
        <f>C216-G153</f>
        <v>0.02425</v>
      </c>
      <c r="I226" s="26"/>
      <c r="J226" s="26"/>
      <c r="K226" s="26"/>
      <c r="L226" s="26"/>
      <c r="M226" s="26"/>
      <c r="N226" s="26"/>
    </row>
    <row r="227" spans="1:14" ht="1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</row>
    <row r="228" spans="1:14" ht="15">
      <c r="A228" s="26" t="s">
        <v>215</v>
      </c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</row>
    <row r="229" spans="1:14" ht="15">
      <c r="A229" s="26"/>
      <c r="B229" s="26" t="s">
        <v>125</v>
      </c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</row>
    <row r="230" spans="1:14" ht="15">
      <c r="A230" s="26"/>
      <c r="B230" s="26" t="s">
        <v>226</v>
      </c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</row>
    <row r="231" spans="1:14" ht="15">
      <c r="A231" s="26" t="s">
        <v>165</v>
      </c>
      <c r="B231" s="26" t="s">
        <v>227</v>
      </c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</row>
    <row r="232" spans="2:14" ht="18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</row>
    <row r="233" spans="1:14" ht="18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</row>
    <row r="234" spans="1:14" ht="18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</row>
    <row r="235" spans="1:14" ht="18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</row>
    <row r="236" spans="1:14" ht="18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</row>
    <row r="237" spans="1:14" ht="18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</row>
    <row r="238" spans="1:14" ht="18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</row>
    <row r="239" spans="1:14" ht="18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</row>
    <row r="240" spans="1:14" ht="18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</row>
    <row r="241" spans="1:14" ht="18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</row>
    <row r="242" spans="1:14" ht="18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</row>
    <row r="243" spans="1:14" ht="18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</row>
    <row r="244" spans="1:14" ht="18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</row>
    <row r="245" spans="1:14" ht="18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</row>
    <row r="246" spans="1:14" ht="18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</row>
    <row r="247" spans="1:14" ht="18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</row>
    <row r="248" spans="1:14" ht="18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</row>
    <row r="249" spans="1:14" ht="18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</row>
    <row r="250" spans="1:14" ht="18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</row>
    <row r="251" spans="1:14" ht="18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</row>
    <row r="252" spans="1:14" ht="18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</row>
    <row r="253" spans="1:14" ht="18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</row>
    <row r="254" spans="1:14" ht="18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</row>
    <row r="255" spans="1:14" ht="18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</row>
    <row r="256" spans="1:14" ht="18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</row>
    <row r="257" spans="1:14" ht="18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</row>
    <row r="258" spans="1:14" ht="18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</row>
    <row r="259" spans="1:14" ht="18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</row>
    <row r="260" spans="1:14" ht="18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</row>
    <row r="261" spans="1:14" ht="18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</row>
    <row r="262" spans="1:14" ht="18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</row>
    <row r="263" spans="1:14" ht="18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</row>
    <row r="264" spans="1:14" ht="18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</row>
    <row r="265" spans="1:14" ht="18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</row>
    <row r="266" spans="1:14" ht="15">
      <c r="A266" s="26"/>
      <c r="B266" s="26"/>
      <c r="C266" s="26"/>
      <c r="D266" s="26"/>
      <c r="E266" s="26" t="s">
        <v>114</v>
      </c>
      <c r="F266" s="29"/>
      <c r="G266" s="29"/>
      <c r="H266" s="29"/>
      <c r="I266" s="26"/>
      <c r="J266" s="26"/>
      <c r="K266" s="26"/>
      <c r="L266" s="26"/>
      <c r="M266" s="26"/>
      <c r="N266" s="26"/>
    </row>
    <row r="267" spans="1:14" ht="15">
      <c r="A267" s="187" t="s">
        <v>228</v>
      </c>
      <c r="B267" s="187" t="s">
        <v>253</v>
      </c>
      <c r="C267" s="187" t="s">
        <v>112</v>
      </c>
      <c r="D267" s="187" t="s">
        <v>113</v>
      </c>
      <c r="E267" s="186" t="s">
        <v>109</v>
      </c>
      <c r="F267" s="186"/>
      <c r="G267" s="186"/>
      <c r="H267" s="187" t="s">
        <v>253</v>
      </c>
      <c r="I267" s="187">
        <f>(G8+G9+G10)/3</f>
        <v>0.18533333333333335</v>
      </c>
      <c r="J267" s="26"/>
      <c r="K267" s="26"/>
      <c r="L267" s="26"/>
      <c r="M267" s="26"/>
      <c r="N267" s="26"/>
    </row>
    <row r="268" spans="1:14" ht="15">
      <c r="A268" s="187"/>
      <c r="B268" s="187"/>
      <c r="C268" s="187"/>
      <c r="D268" s="187"/>
      <c r="E268" s="188">
        <v>3</v>
      </c>
      <c r="F268" s="188"/>
      <c r="G268" s="188"/>
      <c r="H268" s="187"/>
      <c r="I268" s="187"/>
      <c r="J268" s="26"/>
      <c r="K268" s="26"/>
      <c r="L268" s="26"/>
      <c r="M268" s="26"/>
      <c r="N268" s="26"/>
    </row>
    <row r="269" spans="1:14" ht="1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</row>
    <row r="270" spans="1:14" ht="15">
      <c r="A270" s="187" t="s">
        <v>115</v>
      </c>
      <c r="B270" s="187" t="s">
        <v>253</v>
      </c>
      <c r="C270" s="187" t="s">
        <v>116</v>
      </c>
      <c r="D270" s="187">
        <v>0.179</v>
      </c>
      <c r="E270" s="29"/>
      <c r="F270" s="29"/>
      <c r="G270" s="29"/>
      <c r="I270" s="26"/>
      <c r="J270" s="26"/>
      <c r="K270" s="26"/>
      <c r="L270" s="26"/>
      <c r="M270" s="26"/>
      <c r="N270" s="26"/>
    </row>
    <row r="271" spans="1:14" ht="15">
      <c r="A271" s="187"/>
      <c r="B271" s="187"/>
      <c r="C271" s="187"/>
      <c r="D271" s="187"/>
      <c r="E271" s="29"/>
      <c r="F271" s="29"/>
      <c r="G271" s="29"/>
      <c r="I271" s="26"/>
      <c r="J271" s="26"/>
      <c r="K271" s="26"/>
      <c r="L271" s="26"/>
      <c r="M271" s="26"/>
      <c r="N271" s="26"/>
    </row>
    <row r="272" spans="1:14" ht="15">
      <c r="A272" s="26"/>
      <c r="B272" s="26"/>
      <c r="C272" s="26"/>
      <c r="D272" s="26" t="s">
        <v>119</v>
      </c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3" spans="1:14" ht="15">
      <c r="A273" s="187" t="s">
        <v>117</v>
      </c>
      <c r="B273" s="187" t="s">
        <v>253</v>
      </c>
      <c r="C273" s="187" t="s">
        <v>118</v>
      </c>
      <c r="D273" s="186" t="s">
        <v>108</v>
      </c>
      <c r="E273" s="186"/>
      <c r="F273" s="186"/>
      <c r="G273" s="187" t="s">
        <v>253</v>
      </c>
      <c r="H273" s="187">
        <f>(F8+F9+F10)/3</f>
        <v>0.12033333333333333</v>
      </c>
      <c r="I273" s="29"/>
      <c r="J273" s="26"/>
      <c r="K273" s="26"/>
      <c r="L273" s="26"/>
      <c r="M273" s="26"/>
      <c r="N273" s="26"/>
    </row>
    <row r="274" spans="1:14" ht="15">
      <c r="A274" s="187"/>
      <c r="B274" s="187"/>
      <c r="C274" s="187"/>
      <c r="D274" s="188">
        <v>3</v>
      </c>
      <c r="E274" s="188"/>
      <c r="F274" s="188"/>
      <c r="G274" s="187"/>
      <c r="H274" s="187"/>
      <c r="I274" s="29"/>
      <c r="J274" s="26"/>
      <c r="K274" s="26"/>
      <c r="L274" s="26"/>
      <c r="M274" s="26"/>
      <c r="N274" s="26"/>
    </row>
    <row r="275" spans="1:14" ht="1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</row>
    <row r="276" spans="1:14" ht="15">
      <c r="A276" s="26" t="s">
        <v>239</v>
      </c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</row>
    <row r="277" spans="1:14" ht="1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</row>
    <row r="278" spans="1:14" ht="15">
      <c r="A278" s="26"/>
      <c r="B278" s="30" t="s">
        <v>120</v>
      </c>
      <c r="C278" s="26" t="s">
        <v>110</v>
      </c>
      <c r="D278" s="26"/>
      <c r="E278" s="26"/>
      <c r="F278" s="26"/>
      <c r="G278" s="26"/>
      <c r="H278" s="26">
        <f>0.1203-0.0633</f>
        <v>0.05700000000000001</v>
      </c>
      <c r="I278" s="26"/>
      <c r="J278" s="26"/>
      <c r="K278" s="26"/>
      <c r="L278" s="26"/>
      <c r="M278" s="26"/>
      <c r="N278" s="26"/>
    </row>
    <row r="279" spans="1:14" ht="15">
      <c r="A279" s="26"/>
      <c r="B279" s="30" t="s">
        <v>241</v>
      </c>
      <c r="C279" s="26" t="s">
        <v>111</v>
      </c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</row>
    <row r="280" spans="1:14" ht="15">
      <c r="A280" s="26" t="s">
        <v>151</v>
      </c>
      <c r="B280" s="26" t="s">
        <v>171</v>
      </c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</row>
    <row r="281" spans="1:14" ht="1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</row>
    <row r="282" spans="1:14" ht="15">
      <c r="A282" s="26" t="s">
        <v>151</v>
      </c>
      <c r="B282" s="30" t="s">
        <v>152</v>
      </c>
      <c r="C282" s="189" t="s">
        <v>0</v>
      </c>
      <c r="D282" s="189"/>
      <c r="E282" s="189"/>
      <c r="F282" s="39">
        <f>I267+D270-H273</f>
        <v>0.244</v>
      </c>
      <c r="G282" s="26"/>
      <c r="H282" s="26"/>
      <c r="I282" s="26"/>
      <c r="J282" s="26"/>
      <c r="K282" s="26"/>
      <c r="L282" s="26"/>
      <c r="M282" s="26"/>
      <c r="N282" s="26"/>
    </row>
    <row r="283" spans="1:14" ht="1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</row>
    <row r="284" spans="1:14" ht="15">
      <c r="A284" s="26"/>
      <c r="B284" s="32" t="s">
        <v>154</v>
      </c>
      <c r="C284" s="80">
        <f>F282/2</f>
        <v>0.122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  <row r="285" spans="1:14" ht="15">
      <c r="A285" s="26"/>
      <c r="B285" s="34" t="s">
        <v>120</v>
      </c>
      <c r="C285" s="81">
        <f>I267-C284</f>
        <v>0.06333333333333335</v>
      </c>
      <c r="D285" s="26"/>
      <c r="E285" s="49"/>
      <c r="F285" s="26"/>
      <c r="G285" s="49"/>
      <c r="H285" s="26"/>
      <c r="I285" s="26"/>
      <c r="J285" s="26"/>
      <c r="K285" s="26"/>
      <c r="L285" s="26"/>
      <c r="M285" s="26"/>
      <c r="N285" s="26"/>
    </row>
    <row r="286" spans="1:14" ht="15">
      <c r="A286" s="26"/>
      <c r="B286" s="36" t="s">
        <v>241</v>
      </c>
      <c r="C286" s="82">
        <f>D270-C284</f>
        <v>0.056999999999999995</v>
      </c>
      <c r="D286" s="26"/>
      <c r="E286" s="26"/>
      <c r="F286" s="26"/>
      <c r="G286" s="49"/>
      <c r="H286" s="26"/>
      <c r="I286" s="26"/>
      <c r="J286" s="26"/>
      <c r="K286" s="26"/>
      <c r="L286" s="26"/>
      <c r="M286" s="26"/>
      <c r="N286" s="26"/>
    </row>
    <row r="287" spans="1:14" ht="1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1:14" ht="15">
      <c r="A288" s="187" t="s">
        <v>121</v>
      </c>
      <c r="B288" s="187"/>
      <c r="C288" s="187"/>
      <c r="D288" s="27" t="s">
        <v>117</v>
      </c>
      <c r="E288" s="187" t="s">
        <v>253</v>
      </c>
      <c r="F288" s="187">
        <f>(C285+C286)/2</f>
        <v>0.060166666666666674</v>
      </c>
      <c r="G288" s="26"/>
      <c r="H288" s="26"/>
      <c r="I288" s="26"/>
      <c r="J288" s="26"/>
      <c r="K288" s="26"/>
      <c r="L288" s="26"/>
      <c r="M288" s="26"/>
      <c r="N288" s="26"/>
    </row>
    <row r="289" spans="1:14" ht="15">
      <c r="A289" s="187"/>
      <c r="B289" s="187"/>
      <c r="C289" s="187"/>
      <c r="D289" s="28">
        <v>2</v>
      </c>
      <c r="E289" s="187"/>
      <c r="F289" s="187"/>
      <c r="G289" s="26"/>
      <c r="H289" s="26" t="s">
        <v>75</v>
      </c>
      <c r="I289" s="26"/>
      <c r="J289" s="26"/>
      <c r="K289" s="26"/>
      <c r="L289" s="26"/>
      <c r="M289" s="26"/>
      <c r="N289" s="26"/>
    </row>
    <row r="290" spans="1:14" ht="15">
      <c r="A290" s="26"/>
      <c r="B290" s="26"/>
      <c r="C290" s="26"/>
      <c r="D290" s="26"/>
      <c r="E290" s="26"/>
      <c r="F290" s="26"/>
      <c r="G290" s="26"/>
      <c r="H290" s="49">
        <f>G291-0.04025</f>
        <v>0.004333333333333335</v>
      </c>
      <c r="I290" s="26"/>
      <c r="J290" s="26"/>
      <c r="K290" s="26"/>
      <c r="L290" s="26"/>
      <c r="M290" s="26"/>
      <c r="N290" s="26"/>
    </row>
    <row r="291" spans="1:14" ht="15">
      <c r="A291" s="26" t="s">
        <v>238</v>
      </c>
      <c r="B291" s="26"/>
      <c r="C291" s="26"/>
      <c r="D291" s="26"/>
      <c r="E291" s="26"/>
      <c r="F291" s="26"/>
      <c r="G291" s="39">
        <f>C285-F219</f>
        <v>0.044583333333333336</v>
      </c>
      <c r="H291" s="26"/>
      <c r="I291" s="26"/>
      <c r="J291" s="26"/>
      <c r="K291" s="26"/>
      <c r="L291" s="26"/>
      <c r="M291" s="26"/>
      <c r="N291" s="26"/>
    </row>
    <row r="292" spans="1:14" ht="1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</row>
    <row r="293" spans="2:14" ht="15">
      <c r="B293" s="26" t="s">
        <v>1</v>
      </c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</row>
    <row r="294" spans="1:14" ht="18">
      <c r="A294" s="26" t="s">
        <v>166</v>
      </c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</row>
    <row r="295" spans="2:14" ht="18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</row>
    <row r="296" spans="1:14" ht="18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</row>
    <row r="297" spans="1:14" ht="18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</row>
    <row r="298" spans="1:14" ht="18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1:14" ht="18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</row>
    <row r="300" spans="1:14" ht="18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</row>
    <row r="301" spans="1:14" ht="18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</row>
    <row r="302" spans="1:14" ht="18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</row>
    <row r="303" spans="1:14" ht="18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</row>
    <row r="304" spans="1:14" ht="18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</row>
    <row r="305" spans="1:14" ht="18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</row>
    <row r="306" spans="1:14" ht="18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</row>
    <row r="307" spans="1:14" ht="18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</row>
    <row r="308" spans="1:14" ht="18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</row>
    <row r="309" spans="1:14" ht="18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</row>
    <row r="310" spans="1:14" ht="18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</row>
    <row r="311" spans="1:14" ht="1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</row>
    <row r="312" spans="2:14" ht="15">
      <c r="B312" s="26"/>
      <c r="C312" s="26"/>
      <c r="D312" s="30" t="s">
        <v>157</v>
      </c>
      <c r="E312" s="1" t="s">
        <v>261</v>
      </c>
      <c r="F312" s="26"/>
      <c r="G312" s="26"/>
      <c r="H312" s="26"/>
      <c r="L312" s="26"/>
      <c r="M312" s="26"/>
      <c r="N312" s="26"/>
    </row>
    <row r="313" spans="1:14" ht="15">
      <c r="A313" s="26"/>
      <c r="B313" s="26"/>
      <c r="C313" s="26"/>
      <c r="D313" s="26"/>
      <c r="F313" s="26"/>
      <c r="G313" s="26"/>
      <c r="H313" s="26"/>
      <c r="J313" s="49">
        <f>C148+C149+C217+C286+C284+H226+G291</f>
        <v>0.2685833333333334</v>
      </c>
      <c r="L313" s="26"/>
      <c r="M313" s="26"/>
      <c r="N313" s="26"/>
    </row>
    <row r="314" spans="1:14" ht="15">
      <c r="A314" s="57" t="s">
        <v>144</v>
      </c>
      <c r="B314" s="58"/>
      <c r="C314" s="58"/>
      <c r="D314" s="58"/>
      <c r="E314" s="59"/>
      <c r="F314" s="26"/>
      <c r="H314" s="26"/>
      <c r="I314" s="26"/>
      <c r="K314" s="26"/>
      <c r="L314" s="26"/>
      <c r="M314" s="26"/>
      <c r="N314" s="26"/>
    </row>
    <row r="315" spans="1:14" ht="15">
      <c r="A315" s="60"/>
      <c r="B315" s="65" t="s">
        <v>260</v>
      </c>
      <c r="C315" s="65"/>
      <c r="D315" s="65"/>
      <c r="E315" s="61"/>
      <c r="F315" s="26" t="s">
        <v>256</v>
      </c>
      <c r="H315" s="26"/>
      <c r="I315" s="26"/>
      <c r="J315" s="49"/>
      <c r="K315" s="26"/>
      <c r="L315" s="26"/>
      <c r="M315" s="26"/>
      <c r="N315" s="26"/>
    </row>
    <row r="316" spans="1:14" ht="15">
      <c r="A316" s="60"/>
      <c r="B316" s="50" t="s">
        <v>200</v>
      </c>
      <c r="C316" s="51" t="s">
        <v>201</v>
      </c>
      <c r="D316" s="52" t="s">
        <v>202</v>
      </c>
      <c r="E316" s="61"/>
      <c r="F316" s="26"/>
      <c r="G316" s="50" t="s">
        <v>200</v>
      </c>
      <c r="H316" s="51" t="s">
        <v>201</v>
      </c>
      <c r="I316" s="52" t="s">
        <v>202</v>
      </c>
      <c r="J316" s="26"/>
      <c r="K316" s="26"/>
      <c r="L316" s="26"/>
      <c r="M316" s="26"/>
      <c r="N316" s="26"/>
    </row>
    <row r="317" spans="1:14" ht="15">
      <c r="A317" s="60"/>
      <c r="B317" s="91" t="s">
        <v>160</v>
      </c>
      <c r="C317" s="93" t="s">
        <v>3</v>
      </c>
      <c r="D317" s="92">
        <v>0</v>
      </c>
      <c r="E317" s="61"/>
      <c r="F317" s="26"/>
      <c r="G317" s="91" t="s">
        <v>160</v>
      </c>
      <c r="H317" s="93" t="s">
        <v>3</v>
      </c>
      <c r="I317" s="94">
        <v>-0.001</v>
      </c>
      <c r="J317" s="26"/>
      <c r="K317" s="26"/>
      <c r="L317" s="26"/>
      <c r="M317" s="26"/>
      <c r="N317" s="26"/>
    </row>
    <row r="318" spans="1:14" ht="15">
      <c r="A318" s="60"/>
      <c r="B318" s="53" t="s">
        <v>160</v>
      </c>
      <c r="C318" s="54" t="s">
        <v>158</v>
      </c>
      <c r="D318" s="86">
        <v>0.02814</v>
      </c>
      <c r="E318" s="61"/>
      <c r="F318" s="26"/>
      <c r="G318" s="53" t="s">
        <v>160</v>
      </c>
      <c r="H318" s="54" t="s">
        <v>158</v>
      </c>
      <c r="I318" s="89">
        <v>0.02425</v>
      </c>
      <c r="J318" s="26"/>
      <c r="K318" s="26"/>
      <c r="L318" s="26"/>
      <c r="M318" s="26"/>
      <c r="N318" s="26"/>
    </row>
    <row r="319" spans="1:14" ht="15">
      <c r="A319" s="60"/>
      <c r="B319" s="53" t="s">
        <v>158</v>
      </c>
      <c r="C319" s="54" t="s">
        <v>159</v>
      </c>
      <c r="D319" s="86">
        <v>0.03833</v>
      </c>
      <c r="E319" s="61"/>
      <c r="F319" s="26"/>
      <c r="G319" s="53" t="s">
        <v>158</v>
      </c>
      <c r="H319" s="54" t="s">
        <v>159</v>
      </c>
      <c r="I319" s="96">
        <v>0.0403</v>
      </c>
      <c r="J319" s="26"/>
      <c r="K319" s="26"/>
      <c r="L319" s="26"/>
      <c r="M319" s="26"/>
      <c r="N319" s="26"/>
    </row>
    <row r="320" spans="1:14" ht="15">
      <c r="A320" s="60"/>
      <c r="B320" s="53" t="s">
        <v>159</v>
      </c>
      <c r="C320" s="54" t="s">
        <v>232</v>
      </c>
      <c r="D320" s="86">
        <v>0.12301</v>
      </c>
      <c r="E320" s="61"/>
      <c r="F320" s="26"/>
      <c r="G320" s="53" t="s">
        <v>159</v>
      </c>
      <c r="H320" s="54" t="s">
        <v>232</v>
      </c>
      <c r="I320" s="89">
        <v>0.122</v>
      </c>
      <c r="J320" s="26"/>
      <c r="K320" s="26"/>
      <c r="L320" s="26"/>
      <c r="M320" s="26"/>
      <c r="N320" s="26"/>
    </row>
    <row r="321" spans="1:14" ht="15">
      <c r="A321" s="60"/>
      <c r="B321" s="53" t="s">
        <v>159</v>
      </c>
      <c r="C321" s="54" t="s">
        <v>101</v>
      </c>
      <c r="D321" s="86">
        <v>0.05599</v>
      </c>
      <c r="E321" s="61"/>
      <c r="F321" s="26"/>
      <c r="G321" s="53" t="s">
        <v>159</v>
      </c>
      <c r="H321" s="54" t="s">
        <v>101</v>
      </c>
      <c r="I321" s="89">
        <v>0.057</v>
      </c>
      <c r="J321" s="26"/>
      <c r="K321" s="26"/>
      <c r="L321" s="26"/>
      <c r="M321" s="26"/>
      <c r="N321" s="26"/>
    </row>
    <row r="322" spans="1:14" ht="15">
      <c r="A322" s="60"/>
      <c r="B322" s="53" t="s">
        <v>158</v>
      </c>
      <c r="C322" s="54" t="s">
        <v>4</v>
      </c>
      <c r="D322" s="86">
        <v>0.00185</v>
      </c>
      <c r="E322" s="61"/>
      <c r="F322" s="26"/>
      <c r="G322" s="53" t="s">
        <v>158</v>
      </c>
      <c r="H322" s="54" t="s">
        <v>4</v>
      </c>
      <c r="I322" s="89">
        <v>0.0058</v>
      </c>
      <c r="J322" s="26"/>
      <c r="K322" s="26"/>
      <c r="L322" s="26"/>
      <c r="M322" s="26"/>
      <c r="N322" s="26"/>
    </row>
    <row r="323" spans="1:14" ht="15">
      <c r="A323" s="60"/>
      <c r="B323" s="55" t="s">
        <v>160</v>
      </c>
      <c r="C323" s="56" t="s">
        <v>2</v>
      </c>
      <c r="D323" s="87">
        <v>0.01502</v>
      </c>
      <c r="E323" s="61"/>
      <c r="F323" s="26"/>
      <c r="G323" s="55" t="s">
        <v>160</v>
      </c>
      <c r="H323" s="56" t="s">
        <v>2</v>
      </c>
      <c r="I323" s="90">
        <v>0.016</v>
      </c>
      <c r="J323" s="26"/>
      <c r="K323" s="26"/>
      <c r="L323" s="26"/>
      <c r="M323" s="26"/>
      <c r="N323" s="26"/>
    </row>
    <row r="324" spans="1:14" ht="15">
      <c r="A324" s="62"/>
      <c r="B324" s="63"/>
      <c r="C324" s="95" t="s">
        <v>259</v>
      </c>
      <c r="D324" s="88">
        <f>SUM(D317:D323)</f>
        <v>0.26233999999999996</v>
      </c>
      <c r="E324" s="64"/>
      <c r="F324" s="26"/>
      <c r="G324" s="62"/>
      <c r="H324" s="95" t="s">
        <v>259</v>
      </c>
      <c r="I324" s="90">
        <f>SUM(I317:I323)</f>
        <v>0.26435</v>
      </c>
      <c r="J324" s="26"/>
      <c r="K324" s="26"/>
      <c r="L324" s="26"/>
      <c r="M324" s="26"/>
      <c r="N324" s="26"/>
    </row>
    <row r="325" spans="1:14" ht="1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</row>
    <row r="326" spans="1:14" ht="15">
      <c r="A326" s="26" t="s">
        <v>103</v>
      </c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</row>
    <row r="327" spans="1:14" ht="15">
      <c r="A327" s="26"/>
      <c r="B327" s="26" t="s">
        <v>255</v>
      </c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</row>
    <row r="328" spans="1:14" ht="1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</row>
    <row r="329" spans="1:14" ht="15">
      <c r="A329" s="97" t="s">
        <v>127</v>
      </c>
      <c r="B329" s="97"/>
      <c r="C329" s="97"/>
      <c r="D329" s="97"/>
      <c r="E329" s="97"/>
      <c r="F329" s="97"/>
      <c r="G329" s="97"/>
      <c r="H329" s="97"/>
      <c r="I329" s="97"/>
      <c r="J329" s="110"/>
      <c r="K329"/>
      <c r="L329" s="26"/>
      <c r="M329" s="26"/>
      <c r="N329" s="26"/>
    </row>
    <row r="330" spans="1:14" ht="15">
      <c r="A330" s="26"/>
      <c r="B330" s="97" t="s">
        <v>246</v>
      </c>
      <c r="C330" s="97"/>
      <c r="D330" s="97"/>
      <c r="E330" s="97"/>
      <c r="F330" s="97"/>
      <c r="G330" s="97"/>
      <c r="H330" s="97"/>
      <c r="I330" s="97"/>
      <c r="J330" s="110"/>
      <c r="K330" s="26"/>
      <c r="L330" s="26"/>
      <c r="M330" s="26"/>
      <c r="N330" s="26"/>
    </row>
    <row r="331" spans="1:14" ht="15">
      <c r="A331" s="26"/>
      <c r="B331" s="108" t="s">
        <v>69</v>
      </c>
      <c r="C331" s="108"/>
      <c r="D331" s="108"/>
      <c r="E331" s="108"/>
      <c r="F331" s="108"/>
      <c r="G331" s="108"/>
      <c r="H331" s="108"/>
      <c r="I331" s="26"/>
      <c r="J331" s="26"/>
      <c r="K331" s="26"/>
      <c r="L331" s="26"/>
      <c r="M331" s="26"/>
      <c r="N331" s="26"/>
    </row>
    <row r="332" spans="1:14" ht="15">
      <c r="A332" s="26" t="s">
        <v>216</v>
      </c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</row>
    <row r="333" spans="1:14" ht="1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</row>
    <row r="334" spans="1:14" ht="15">
      <c r="A334" s="26" t="s">
        <v>5</v>
      </c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</row>
    <row r="335" spans="1:14" ht="15">
      <c r="A335" s="26"/>
      <c r="B335" s="26" t="s">
        <v>6</v>
      </c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</row>
    <row r="336" spans="1:14" ht="15">
      <c r="A336" s="26"/>
      <c r="C336" s="26" t="s">
        <v>8</v>
      </c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</row>
    <row r="337" spans="1:14" ht="15">
      <c r="A337" s="26"/>
      <c r="B337" s="187" t="s">
        <v>7</v>
      </c>
      <c r="C337" s="186" t="s">
        <v>217</v>
      </c>
      <c r="D337" s="186"/>
      <c r="E337" s="186"/>
      <c r="F337" s="187" t="s">
        <v>253</v>
      </c>
      <c r="G337" s="187">
        <f>(G8+G9+G10+G11)/4</f>
        <v>0.18375000000000002</v>
      </c>
      <c r="H337" s="26"/>
      <c r="I337" s="26"/>
      <c r="J337" s="26"/>
      <c r="K337" s="26"/>
      <c r="L337" s="26"/>
      <c r="M337" s="26"/>
      <c r="N337" s="26"/>
    </row>
    <row r="338" spans="1:14" ht="15">
      <c r="A338" s="26"/>
      <c r="B338" s="187"/>
      <c r="C338" s="189">
        <v>4</v>
      </c>
      <c r="D338" s="189"/>
      <c r="E338" s="189"/>
      <c r="F338" s="187"/>
      <c r="G338" s="187"/>
      <c r="H338" s="26"/>
      <c r="I338" s="26"/>
      <c r="J338" s="26"/>
      <c r="K338" s="26"/>
      <c r="L338" s="26"/>
      <c r="M338" s="26"/>
      <c r="N338" s="26"/>
    </row>
    <row r="339" spans="1:14" ht="1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</row>
    <row r="340" spans="1:14" ht="15">
      <c r="A340" s="26"/>
      <c r="B340" s="26" t="s">
        <v>9</v>
      </c>
      <c r="C340" s="26"/>
      <c r="D340" s="26"/>
      <c r="E340" s="26"/>
      <c r="F340" s="26"/>
      <c r="G340" s="26"/>
      <c r="H340" s="26"/>
      <c r="I340" s="26">
        <f>G337/2</f>
        <v>0.09187500000000001</v>
      </c>
      <c r="J340" s="26"/>
      <c r="K340" s="26"/>
      <c r="L340" s="26"/>
      <c r="M340" s="26"/>
      <c r="N340" s="26"/>
    </row>
    <row r="341" spans="1:14" ht="15">
      <c r="A341" s="26"/>
      <c r="B341" s="26" t="s">
        <v>10</v>
      </c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</row>
    <row r="342" spans="1:14" ht="15">
      <c r="A342" s="26"/>
      <c r="B342" s="26"/>
      <c r="C342" s="26" t="s">
        <v>11</v>
      </c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</row>
    <row r="343" spans="1:14" ht="15">
      <c r="A343" s="26"/>
      <c r="B343" s="26"/>
      <c r="C343" s="26" t="s">
        <v>12</v>
      </c>
      <c r="D343" s="26"/>
      <c r="E343" s="26">
        <f>I340-F288</f>
        <v>0.03170833333333334</v>
      </c>
      <c r="G343" s="26"/>
      <c r="H343" s="26"/>
      <c r="I343" s="26"/>
      <c r="J343" s="26"/>
      <c r="K343" s="26"/>
      <c r="L343" s="26"/>
      <c r="M343" s="26"/>
      <c r="N343" s="26"/>
    </row>
    <row r="344" spans="1:14" ht="15">
      <c r="A344" s="26"/>
      <c r="B344" s="26" t="s">
        <v>218</v>
      </c>
      <c r="C344" s="26"/>
      <c r="D344" s="26"/>
      <c r="E344" s="26"/>
      <c r="F344" s="26"/>
      <c r="G344" s="26"/>
      <c r="H344" s="30" t="s">
        <v>13</v>
      </c>
      <c r="I344" s="26">
        <f>I340+E343</f>
        <v>0.12358333333333335</v>
      </c>
      <c r="K344" s="26"/>
      <c r="L344" s="26"/>
      <c r="M344" s="26"/>
      <c r="N344" s="26"/>
    </row>
    <row r="345" spans="1:14" ht="18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1:14" ht="18">
      <c r="A346" s="26" t="s">
        <v>167</v>
      </c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</row>
    <row r="347" spans="1:14" ht="18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</row>
    <row r="348" spans="1:14" ht="18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</row>
    <row r="349" spans="1:14" ht="18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</row>
    <row r="350" spans="1:14" ht="18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</row>
    <row r="351" spans="1:14" ht="18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</row>
    <row r="352" spans="1:14" ht="18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</row>
    <row r="353" spans="1:14" ht="18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</row>
    <row r="354" spans="1:14" ht="18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</row>
    <row r="355" spans="1:14" ht="18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</row>
    <row r="356" spans="1:14" ht="18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</row>
    <row r="357" spans="1:14" ht="18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</row>
    <row r="358" spans="1:14" ht="18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</row>
    <row r="359" spans="1:14" ht="18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</row>
    <row r="360" spans="1:14" ht="18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</row>
    <row r="361" spans="1:14" ht="18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</row>
    <row r="362" spans="1:14" ht="18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</row>
    <row r="363" spans="1:14" ht="18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</row>
    <row r="364" spans="1:14" ht="18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</row>
    <row r="365" spans="1:14" ht="15">
      <c r="A365" s="26"/>
      <c r="B365" s="26" t="s">
        <v>186</v>
      </c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</row>
    <row r="366" spans="1:14" ht="15">
      <c r="A366" s="26"/>
      <c r="B366" s="26"/>
      <c r="C366" s="26" t="s">
        <v>187</v>
      </c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</row>
    <row r="367" spans="1:10" ht="15">
      <c r="A367" s="1" t="s">
        <v>45</v>
      </c>
      <c r="B367" s="1" t="s">
        <v>45</v>
      </c>
      <c r="C367" s="1" t="s">
        <v>45</v>
      </c>
      <c r="D367" s="1" t="s">
        <v>45</v>
      </c>
      <c r="E367" s="1" t="s">
        <v>45</v>
      </c>
      <c r="F367" s="1" t="s">
        <v>45</v>
      </c>
      <c r="G367" s="1" t="s">
        <v>45</v>
      </c>
      <c r="H367" s="1" t="s">
        <v>45</v>
      </c>
      <c r="I367" s="1" t="s">
        <v>45</v>
      </c>
      <c r="J367" s="1" t="s">
        <v>45</v>
      </c>
    </row>
    <row r="369" spans="1:10" ht="18.75">
      <c r="A369" s="1" t="s">
        <v>107</v>
      </c>
      <c r="D369" s="74" t="s">
        <v>169</v>
      </c>
      <c r="E369" s="75"/>
      <c r="F369" s="76"/>
      <c r="G369" s="75"/>
      <c r="H369" s="75"/>
      <c r="I369" s="75"/>
      <c r="J369" s="75"/>
    </row>
    <row r="370" ht="15">
      <c r="B370" s="1" t="s">
        <v>170</v>
      </c>
    </row>
    <row r="371" spans="3:5" ht="15">
      <c r="C371" s="66" t="s">
        <v>200</v>
      </c>
      <c r="D371" s="48" t="s">
        <v>201</v>
      </c>
      <c r="E371" s="67" t="s">
        <v>202</v>
      </c>
    </row>
    <row r="372" spans="3:6" ht="15">
      <c r="C372" s="68" t="s">
        <v>135</v>
      </c>
      <c r="D372" s="69" t="s">
        <v>4</v>
      </c>
      <c r="E372" s="70">
        <v>0.00575</v>
      </c>
      <c r="F372" s="84">
        <f>IF(E372&gt;0,E372,0)</f>
        <v>0.00575</v>
      </c>
    </row>
    <row r="373" spans="3:6" ht="15">
      <c r="C373" s="68" t="s">
        <v>135</v>
      </c>
      <c r="D373" s="69" t="s">
        <v>134</v>
      </c>
      <c r="E373" s="70">
        <v>0.04025</v>
      </c>
      <c r="F373" s="84">
        <f aca="true" t="shared" si="0" ref="F373:F378">IF(E373&gt;0,E373,0)</f>
        <v>0.04025</v>
      </c>
    </row>
    <row r="374" spans="3:6" ht="15">
      <c r="C374" s="68" t="s">
        <v>134</v>
      </c>
      <c r="D374" s="69" t="s">
        <v>233</v>
      </c>
      <c r="E374" s="70">
        <v>0.057</v>
      </c>
      <c r="F374" s="84">
        <f t="shared" si="0"/>
        <v>0.057</v>
      </c>
    </row>
    <row r="375" spans="3:6" ht="15">
      <c r="C375" s="68" t="s">
        <v>134</v>
      </c>
      <c r="D375" s="69" t="s">
        <v>232</v>
      </c>
      <c r="E375" s="70">
        <v>0.122</v>
      </c>
      <c r="F375" s="84">
        <f t="shared" si="0"/>
        <v>0.122</v>
      </c>
    </row>
    <row r="376" spans="3:6" ht="15">
      <c r="C376" s="68" t="s">
        <v>135</v>
      </c>
      <c r="D376" s="69" t="s">
        <v>137</v>
      </c>
      <c r="E376" s="70">
        <v>0.02425</v>
      </c>
      <c r="F376" s="84">
        <f t="shared" si="0"/>
        <v>0.02425</v>
      </c>
    </row>
    <row r="377" spans="3:6" ht="15">
      <c r="C377" s="68" t="s">
        <v>137</v>
      </c>
      <c r="D377" s="69" t="s">
        <v>2</v>
      </c>
      <c r="E377" s="70">
        <v>0.01575</v>
      </c>
      <c r="F377" s="84">
        <f t="shared" si="0"/>
        <v>0.01575</v>
      </c>
    </row>
    <row r="378" spans="3:6" ht="15">
      <c r="C378" s="71" t="s">
        <v>137</v>
      </c>
      <c r="D378" s="72" t="s">
        <v>3</v>
      </c>
      <c r="E378" s="73">
        <v>-0.00075</v>
      </c>
      <c r="F378" s="85">
        <f t="shared" si="0"/>
        <v>0</v>
      </c>
    </row>
    <row r="379" spans="3:6" ht="15">
      <c r="C379" s="124"/>
      <c r="D379" s="124"/>
      <c r="E379" s="125" t="s">
        <v>168</v>
      </c>
      <c r="F379" s="126">
        <f>SUM(F372:F378)</f>
        <v>0.265</v>
      </c>
    </row>
    <row r="380" ht="15">
      <c r="A380" s="1" t="s">
        <v>104</v>
      </c>
    </row>
    <row r="381" spans="5:10" ht="15">
      <c r="E381" s="111"/>
      <c r="F381" s="111"/>
      <c r="G381" s="177" t="s">
        <v>26</v>
      </c>
      <c r="H381" s="111"/>
      <c r="I381" s="127"/>
      <c r="J381" s="111"/>
    </row>
    <row r="382" spans="1:11" ht="15.75" thickBot="1">
      <c r="A382" s="111" t="s">
        <v>106</v>
      </c>
      <c r="B382" s="111"/>
      <c r="C382" s="111" t="s">
        <v>203</v>
      </c>
      <c r="D382" s="111"/>
      <c r="E382" s="111"/>
      <c r="F382" s="111"/>
      <c r="H382" s="177"/>
      <c r="I382" s="178"/>
      <c r="J382" s="177"/>
      <c r="K382" s="170"/>
    </row>
    <row r="383" spans="1:10" ht="15.75" thickTop="1">
      <c r="A383" s="111"/>
      <c r="B383" s="128" t="s">
        <v>204</v>
      </c>
      <c r="C383" s="128" t="s">
        <v>205</v>
      </c>
      <c r="D383" s="128" t="s">
        <v>160</v>
      </c>
      <c r="E383" s="128" t="s">
        <v>206</v>
      </c>
      <c r="F383" s="128" t="s">
        <v>158</v>
      </c>
      <c r="G383" s="129" t="s">
        <v>207</v>
      </c>
      <c r="H383" s="130" t="s">
        <v>208</v>
      </c>
      <c r="I383" s="127"/>
      <c r="J383" s="111"/>
    </row>
    <row r="384" spans="1:10" ht="15">
      <c r="A384" s="111" t="s">
        <v>209</v>
      </c>
      <c r="B384" s="131" t="s">
        <v>234</v>
      </c>
      <c r="C384" s="133">
        <v>0.015</v>
      </c>
      <c r="D384" s="133">
        <v>0.045</v>
      </c>
      <c r="E384" s="133">
        <v>0.143</v>
      </c>
      <c r="F384" s="134">
        <v>0.198</v>
      </c>
      <c r="G384" s="135">
        <f>C384+D384+E384+F384</f>
        <v>0.401</v>
      </c>
      <c r="H384" s="136">
        <f>G384/3</f>
        <v>0.13366666666666668</v>
      </c>
      <c r="I384" s="127"/>
      <c r="J384" s="111"/>
    </row>
    <row r="385" spans="1:10" ht="15">
      <c r="A385" s="111" t="s">
        <v>211</v>
      </c>
      <c r="B385" s="137"/>
      <c r="C385" s="138" t="s">
        <v>234</v>
      </c>
      <c r="D385" s="138">
        <v>0.03</v>
      </c>
      <c r="E385" s="138">
        <v>0.126</v>
      </c>
      <c r="F385" s="139">
        <v>0.179</v>
      </c>
      <c r="G385" s="135">
        <f>D385+E385+F385+C384</f>
        <v>0.35</v>
      </c>
      <c r="H385" s="136">
        <f>G385/3</f>
        <v>0.11666666666666665</v>
      </c>
      <c r="I385" s="127"/>
      <c r="J385" s="111"/>
    </row>
    <row r="386" spans="1:10" ht="15">
      <c r="A386" s="111" t="s">
        <v>128</v>
      </c>
      <c r="B386" s="137"/>
      <c r="C386" s="138"/>
      <c r="D386" s="138" t="s">
        <v>234</v>
      </c>
      <c r="E386" s="138">
        <v>0.092</v>
      </c>
      <c r="F386" s="139">
        <v>0.179</v>
      </c>
      <c r="G386" s="135">
        <f>E386+F386+D384+D385</f>
        <v>0.346</v>
      </c>
      <c r="H386" s="136">
        <f>G386/3</f>
        <v>0.11533333333333333</v>
      </c>
      <c r="I386" s="127"/>
      <c r="J386" s="111"/>
    </row>
    <row r="387" spans="1:10" ht="15">
      <c r="A387" s="111" t="s">
        <v>129</v>
      </c>
      <c r="B387" s="137"/>
      <c r="C387" s="138"/>
      <c r="D387" s="138"/>
      <c r="E387" s="138" t="s">
        <v>234</v>
      </c>
      <c r="F387" s="139">
        <v>0.179</v>
      </c>
      <c r="G387" s="135">
        <f>F387+E384+E385+E386</f>
        <v>0.5399999999999999</v>
      </c>
      <c r="H387" s="136">
        <f>G387/3</f>
        <v>0.17999999999999997</v>
      </c>
      <c r="I387" s="127"/>
      <c r="J387" s="111"/>
    </row>
    <row r="388" spans="1:10" ht="15.75" thickBot="1">
      <c r="A388" s="111" t="s">
        <v>130</v>
      </c>
      <c r="B388" s="140"/>
      <c r="C388" s="129"/>
      <c r="D388" s="129"/>
      <c r="E388" s="129"/>
      <c r="F388" s="141" t="s">
        <v>234</v>
      </c>
      <c r="G388" s="135">
        <f>F384+F385+F386+F387</f>
        <v>0.7350000000000001</v>
      </c>
      <c r="H388" s="142">
        <f>G388/3</f>
        <v>0.24500000000000002</v>
      </c>
      <c r="I388" s="127"/>
      <c r="J388" s="111"/>
    </row>
    <row r="389" spans="1:10" ht="15.75" thickTop="1">
      <c r="A389" s="111"/>
      <c r="B389" s="111"/>
      <c r="C389" s="111"/>
      <c r="D389" s="111"/>
      <c r="E389" s="111"/>
      <c r="F389" s="111"/>
      <c r="G389" s="111"/>
      <c r="H389" s="111"/>
      <c r="I389" s="127"/>
      <c r="J389" s="111"/>
    </row>
    <row r="390" spans="1:10" ht="15">
      <c r="A390" s="111"/>
      <c r="B390" s="128" t="s">
        <v>204</v>
      </c>
      <c r="C390" s="128" t="s">
        <v>205</v>
      </c>
      <c r="D390" s="128" t="s">
        <v>160</v>
      </c>
      <c r="E390" s="128" t="s">
        <v>206</v>
      </c>
      <c r="F390" s="128" t="s">
        <v>158</v>
      </c>
      <c r="G390" s="111"/>
      <c r="H390" s="111"/>
      <c r="I390" s="127"/>
      <c r="J390" s="111"/>
    </row>
    <row r="391" spans="1:10" ht="15">
      <c r="A391" s="111" t="s">
        <v>209</v>
      </c>
      <c r="B391" s="143" t="s">
        <v>234</v>
      </c>
      <c r="C391" s="144">
        <f>C384</f>
        <v>0.015</v>
      </c>
      <c r="D391" s="144">
        <f>D384</f>
        <v>0.045</v>
      </c>
      <c r="E391" s="144">
        <f>E384</f>
        <v>0.143</v>
      </c>
      <c r="F391" s="145">
        <v>0.198</v>
      </c>
      <c r="G391" s="111"/>
      <c r="H391" s="146" t="s">
        <v>131</v>
      </c>
      <c r="I391" s="127"/>
      <c r="J391" s="111"/>
    </row>
    <row r="392" spans="1:10" ht="15">
      <c r="A392" s="111" t="s">
        <v>211</v>
      </c>
      <c r="B392" s="147">
        <f>C384-(G384+G385)/2</f>
        <v>-0.3605</v>
      </c>
      <c r="C392" s="148" t="s">
        <v>234</v>
      </c>
      <c r="D392" s="148">
        <f>D385</f>
        <v>0.03</v>
      </c>
      <c r="E392" s="148">
        <f>E385</f>
        <v>0.126</v>
      </c>
      <c r="F392" s="149">
        <v>0.179</v>
      </c>
      <c r="G392" s="111"/>
      <c r="H392" s="111"/>
      <c r="I392" s="127"/>
      <c r="J392" s="146" t="s">
        <v>139</v>
      </c>
    </row>
    <row r="393" spans="1:10" ht="15">
      <c r="A393" s="111" t="s">
        <v>128</v>
      </c>
      <c r="B393" s="147">
        <f>D384-(G384+G386)/2</f>
        <v>-0.3285</v>
      </c>
      <c r="C393" s="148">
        <f>D385-(G385+G386)/2</f>
        <v>-0.31799999999999995</v>
      </c>
      <c r="D393" s="148" t="s">
        <v>234</v>
      </c>
      <c r="E393" s="148">
        <f>E386</f>
        <v>0.092</v>
      </c>
      <c r="F393" s="149">
        <v>0.179</v>
      </c>
      <c r="G393" s="111"/>
      <c r="H393" s="111"/>
      <c r="I393" s="127"/>
      <c r="J393" s="146" t="s">
        <v>140</v>
      </c>
    </row>
    <row r="394" spans="1:10" ht="15">
      <c r="A394" s="111" t="s">
        <v>129</v>
      </c>
      <c r="B394" s="147">
        <f>E384-(G384+G387)/2</f>
        <v>-0.3275</v>
      </c>
      <c r="C394" s="148">
        <f>E385-(G385+G387)/2</f>
        <v>-0.31899999999999995</v>
      </c>
      <c r="D394" s="148">
        <f>E386-(G386+G387)/2</f>
        <v>-0.351</v>
      </c>
      <c r="E394" s="148" t="s">
        <v>234</v>
      </c>
      <c r="F394" s="149">
        <v>0.179</v>
      </c>
      <c r="G394" s="111"/>
      <c r="H394" s="111"/>
      <c r="I394" s="127"/>
      <c r="J394" s="146" t="s">
        <v>141</v>
      </c>
    </row>
    <row r="395" spans="1:10" ht="15">
      <c r="A395" s="111" t="s">
        <v>130</v>
      </c>
      <c r="B395" s="150">
        <f>F384-(G384+G388)/2</f>
        <v>-0.37000000000000005</v>
      </c>
      <c r="C395" s="151">
        <f>F385-(G385+G388)/2</f>
        <v>-0.3635</v>
      </c>
      <c r="D395" s="151">
        <f>F386-(G386+G388)/2</f>
        <v>-0.3615</v>
      </c>
      <c r="E395" s="155">
        <f>F387-(G387+G388)/2</f>
        <v>-0.45849999999999996</v>
      </c>
      <c r="F395" s="152" t="s">
        <v>234</v>
      </c>
      <c r="G395" s="111"/>
      <c r="H395" s="146" t="s">
        <v>142</v>
      </c>
      <c r="I395" s="127"/>
      <c r="J395" s="127"/>
    </row>
    <row r="396" spans="1:10" ht="15">
      <c r="A396" s="111"/>
      <c r="B396" s="179" t="s">
        <v>27</v>
      </c>
      <c r="C396" s="148"/>
      <c r="D396" s="148"/>
      <c r="E396" s="148"/>
      <c r="F396" s="148"/>
      <c r="G396" s="111"/>
      <c r="H396" s="111"/>
      <c r="I396" s="127"/>
      <c r="J396" s="111"/>
    </row>
    <row r="397" spans="1:10" ht="15">
      <c r="A397" s="156" t="s">
        <v>28</v>
      </c>
      <c r="B397" s="156"/>
      <c r="C397" s="156"/>
      <c r="D397" s="156"/>
      <c r="E397" s="156"/>
      <c r="F397" s="148"/>
      <c r="G397" s="111"/>
      <c r="H397" s="111"/>
      <c r="I397" s="127"/>
      <c r="J397" s="111"/>
    </row>
    <row r="398" spans="1:10" ht="15">
      <c r="A398" s="156" t="s">
        <v>29</v>
      </c>
      <c r="B398" s="148"/>
      <c r="C398" s="148"/>
      <c r="D398" s="148"/>
      <c r="E398" s="148"/>
      <c r="F398" s="148"/>
      <c r="G398" s="111"/>
      <c r="H398" s="111"/>
      <c r="I398" s="127"/>
      <c r="J398" s="111"/>
    </row>
    <row r="399" spans="1:10" ht="15">
      <c r="A399" s="154" t="s">
        <v>30</v>
      </c>
      <c r="B399" s="148"/>
      <c r="C399" s="148"/>
      <c r="D399" s="148"/>
      <c r="E399" s="148"/>
      <c r="F399" s="148"/>
      <c r="G399" s="156"/>
      <c r="H399" s="156"/>
      <c r="I399" s="157"/>
      <c r="J399" s="156"/>
    </row>
    <row r="400" spans="1:10" ht="15">
      <c r="A400" s="154"/>
      <c r="B400" s="154" t="s">
        <v>53</v>
      </c>
      <c r="C400" s="148"/>
      <c r="D400" s="148"/>
      <c r="E400" s="148"/>
      <c r="F400" s="148"/>
      <c r="G400" s="156"/>
      <c r="H400" s="156"/>
      <c r="I400" s="157"/>
      <c r="J400" s="156"/>
    </row>
    <row r="401" spans="1:10" ht="15">
      <c r="A401" s="154"/>
      <c r="B401" s="154" t="s">
        <v>54</v>
      </c>
      <c r="C401" s="148"/>
      <c r="D401" s="148"/>
      <c r="E401" s="148"/>
      <c r="F401" s="148"/>
      <c r="G401" s="156"/>
      <c r="H401" s="156"/>
      <c r="I401" s="157"/>
      <c r="J401" s="156"/>
    </row>
    <row r="402" spans="1:10" ht="15">
      <c r="A402" s="180"/>
      <c r="B402" s="180" t="s">
        <v>188</v>
      </c>
      <c r="C402" s="181">
        <f>F387/2+(H388-H387)/2</f>
        <v>0.12200000000000003</v>
      </c>
      <c r="D402" s="156"/>
      <c r="E402" s="184" t="s">
        <v>236</v>
      </c>
      <c r="F402" s="184"/>
      <c r="G402" s="184">
        <f>(F387+H387-H388)/2</f>
        <v>0.05699999999999998</v>
      </c>
      <c r="H402" s="132" t="s">
        <v>237</v>
      </c>
      <c r="I402" s="185"/>
      <c r="J402" s="132"/>
    </row>
    <row r="403" spans="1:10" ht="15">
      <c r="A403" s="111" t="s">
        <v>172</v>
      </c>
      <c r="B403" s="148"/>
      <c r="C403" s="148"/>
      <c r="D403" s="148"/>
      <c r="E403" s="148"/>
      <c r="F403" s="148"/>
      <c r="G403" s="111"/>
      <c r="H403" s="111"/>
      <c r="I403" s="127"/>
      <c r="J403" s="111"/>
    </row>
    <row r="404" spans="1:10" ht="15">
      <c r="A404" s="111"/>
      <c r="B404" s="148" t="s">
        <v>93</v>
      </c>
      <c r="C404" s="148"/>
      <c r="D404" s="148"/>
      <c r="E404" s="148"/>
      <c r="F404" s="148"/>
      <c r="G404" s="111"/>
      <c r="H404" s="111"/>
      <c r="I404" s="127"/>
      <c r="J404" s="111"/>
    </row>
    <row r="405" spans="1:10" ht="15">
      <c r="A405" s="153"/>
      <c r="B405" s="158" t="s">
        <v>189</v>
      </c>
      <c r="C405" s="159">
        <f>F387-C402</f>
        <v>0.05699999999999997</v>
      </c>
      <c r="D405" s="111"/>
      <c r="E405" s="111"/>
      <c r="F405" s="111"/>
      <c r="G405" s="111"/>
      <c r="H405" s="111"/>
      <c r="I405" s="127"/>
      <c r="J405" s="111"/>
    </row>
    <row r="406" spans="1:10" ht="15">
      <c r="A406" s="195"/>
      <c r="B406" s="196" t="s">
        <v>56</v>
      </c>
      <c r="C406" s="196"/>
      <c r="D406" s="111"/>
      <c r="E406" s="111"/>
      <c r="F406" s="111"/>
      <c r="G406" s="111"/>
      <c r="H406" s="111"/>
      <c r="I406" s="127"/>
      <c r="J406" s="111"/>
    </row>
    <row r="407" spans="1:10" ht="15">
      <c r="A407" s="195"/>
      <c r="B407" s="196" t="s">
        <v>57</v>
      </c>
      <c r="C407" s="196"/>
      <c r="D407" s="111"/>
      <c r="E407" s="111"/>
      <c r="F407" s="111" t="s">
        <v>58</v>
      </c>
      <c r="G407" s="111"/>
      <c r="H407" s="111"/>
      <c r="I407" s="127"/>
      <c r="J407" s="111"/>
    </row>
    <row r="408" spans="1:10" ht="15">
      <c r="A408" s="195"/>
      <c r="B408" s="197" t="s">
        <v>55</v>
      </c>
      <c r="C408" s="198">
        <f>(F387+(H387-H388))/2</f>
        <v>0.05699999999999997</v>
      </c>
      <c r="D408" s="111"/>
      <c r="E408" s="111"/>
      <c r="F408" s="111"/>
      <c r="G408" s="111"/>
      <c r="H408" s="111"/>
      <c r="I408" s="127"/>
      <c r="J408" s="111"/>
    </row>
    <row r="409" spans="1:10" ht="15">
      <c r="A409" s="111"/>
      <c r="B409" s="111" t="s">
        <v>74</v>
      </c>
      <c r="C409" s="111"/>
      <c r="D409" s="111"/>
      <c r="E409" s="111"/>
      <c r="F409" s="111"/>
      <c r="G409" s="111"/>
      <c r="H409" s="111"/>
      <c r="I409" s="127"/>
      <c r="J409" s="111"/>
    </row>
    <row r="410" spans="1:10" ht="15">
      <c r="A410" s="111"/>
      <c r="B410" s="111"/>
      <c r="C410" s="111"/>
      <c r="D410" s="182" t="s">
        <v>59</v>
      </c>
      <c r="E410" s="165"/>
      <c r="F410" s="182"/>
      <c r="G410" s="182"/>
      <c r="H410" s="182"/>
      <c r="I410" s="127"/>
      <c r="J410" s="111"/>
    </row>
    <row r="411" spans="1:10" ht="15">
      <c r="A411" s="111"/>
      <c r="B411" s="111"/>
      <c r="C411" s="111"/>
      <c r="D411" s="111"/>
      <c r="E411" s="111"/>
      <c r="F411" s="111"/>
      <c r="G411" s="111"/>
      <c r="H411" s="111"/>
      <c r="I411" s="127"/>
      <c r="J411" s="111"/>
    </row>
    <row r="412" spans="1:10" ht="15">
      <c r="A412" s="111" t="s">
        <v>192</v>
      </c>
      <c r="B412" s="111"/>
      <c r="C412" s="111"/>
      <c r="D412" s="111"/>
      <c r="E412" s="111"/>
      <c r="F412" s="111"/>
      <c r="G412" s="111"/>
      <c r="H412" s="111"/>
      <c r="I412" s="127"/>
      <c r="J412" s="111"/>
    </row>
    <row r="413" spans="1:10" ht="15">
      <c r="A413" s="111"/>
      <c r="B413" s="111" t="s">
        <v>193</v>
      </c>
      <c r="C413" s="111"/>
      <c r="D413" s="111"/>
      <c r="E413" s="111"/>
      <c r="F413" s="111"/>
      <c r="G413" s="111"/>
      <c r="H413" s="111"/>
      <c r="I413" s="127"/>
      <c r="J413" s="111"/>
    </row>
    <row r="414" spans="1:10" ht="15">
      <c r="A414" s="111"/>
      <c r="B414" s="111" t="s">
        <v>180</v>
      </c>
      <c r="C414" s="111"/>
      <c r="D414" s="111"/>
      <c r="E414" s="111"/>
      <c r="F414" s="111"/>
      <c r="G414" s="111"/>
      <c r="H414" s="111"/>
      <c r="I414" s="127"/>
      <c r="J414" s="111"/>
    </row>
    <row r="415" spans="1:10" ht="18">
      <c r="A415" s="111" t="s">
        <v>181</v>
      </c>
      <c r="B415" s="111"/>
      <c r="C415" s="111"/>
      <c r="D415" s="111"/>
      <c r="E415" s="111"/>
      <c r="F415" s="111"/>
      <c r="G415" s="111"/>
      <c r="H415" s="111"/>
      <c r="I415" s="127"/>
      <c r="J415" s="111"/>
    </row>
    <row r="416" spans="1:10" ht="18">
      <c r="A416" s="111"/>
      <c r="B416" s="111"/>
      <c r="C416" s="111"/>
      <c r="D416" s="111"/>
      <c r="E416" s="111"/>
      <c r="F416" s="111"/>
      <c r="G416" s="111"/>
      <c r="H416" s="111"/>
      <c r="I416" s="127"/>
      <c r="J416" s="111"/>
    </row>
    <row r="417" spans="1:10" ht="18">
      <c r="A417" s="111"/>
      <c r="B417" s="111"/>
      <c r="C417" s="111"/>
      <c r="D417" s="111"/>
      <c r="E417" s="111"/>
      <c r="F417" s="111"/>
      <c r="G417" s="111"/>
      <c r="H417" s="111"/>
      <c r="I417" s="127"/>
      <c r="J417" s="111"/>
    </row>
    <row r="418" spans="1:10" ht="18">
      <c r="A418" s="111"/>
      <c r="B418" s="111"/>
      <c r="C418" s="111"/>
      <c r="D418" s="111"/>
      <c r="E418" s="111"/>
      <c r="F418" s="111"/>
      <c r="G418" s="111"/>
      <c r="H418" s="111"/>
      <c r="I418" s="127"/>
      <c r="J418" s="111"/>
    </row>
    <row r="419" spans="1:10" ht="18">
      <c r="A419" s="111"/>
      <c r="B419" s="111"/>
      <c r="C419" s="111"/>
      <c r="D419" s="111"/>
      <c r="E419" s="111"/>
      <c r="F419" s="111"/>
      <c r="G419" s="111"/>
      <c r="H419" s="111"/>
      <c r="I419" s="127"/>
      <c r="J419" s="111"/>
    </row>
    <row r="420" spans="1:10" ht="18">
      <c r="A420" s="111"/>
      <c r="B420" s="111"/>
      <c r="C420" s="111"/>
      <c r="D420" s="111"/>
      <c r="E420" s="111"/>
      <c r="F420" s="111"/>
      <c r="G420" s="111"/>
      <c r="H420" s="111"/>
      <c r="I420" s="127"/>
      <c r="J420" s="111"/>
    </row>
    <row r="421" spans="1:10" ht="18">
      <c r="A421" s="111"/>
      <c r="B421" s="111"/>
      <c r="C421" s="111"/>
      <c r="D421" s="111"/>
      <c r="E421" s="111"/>
      <c r="F421" s="111"/>
      <c r="G421" s="111"/>
      <c r="H421" s="111"/>
      <c r="I421" s="127"/>
      <c r="J421" s="111"/>
    </row>
    <row r="422" spans="1:10" ht="18">
      <c r="A422" s="111"/>
      <c r="B422" s="111"/>
      <c r="C422" s="111"/>
      <c r="D422" s="111"/>
      <c r="E422" s="111"/>
      <c r="F422" s="111"/>
      <c r="G422" s="111"/>
      <c r="H422" s="111"/>
      <c r="I422" s="127"/>
      <c r="J422" s="111"/>
    </row>
    <row r="423" spans="1:10" ht="18">
      <c r="A423" s="111"/>
      <c r="B423" s="111"/>
      <c r="C423" s="111"/>
      <c r="D423" s="111"/>
      <c r="E423" s="111"/>
      <c r="F423" s="111"/>
      <c r="G423" s="111"/>
      <c r="H423" s="111"/>
      <c r="I423" s="127"/>
      <c r="J423" s="111"/>
    </row>
    <row r="424" spans="1:10" ht="18">
      <c r="A424" s="111"/>
      <c r="B424" s="111"/>
      <c r="C424" s="111"/>
      <c r="D424" s="111"/>
      <c r="E424" s="111"/>
      <c r="F424" s="111"/>
      <c r="G424" s="111"/>
      <c r="H424" s="111"/>
      <c r="I424" s="127"/>
      <c r="J424" s="111"/>
    </row>
    <row r="425" spans="1:10" ht="18">
      <c r="A425" s="111"/>
      <c r="B425" s="111"/>
      <c r="C425" s="111"/>
      <c r="D425" s="111"/>
      <c r="E425" s="111"/>
      <c r="F425" s="111"/>
      <c r="G425" s="111"/>
      <c r="H425" s="111"/>
      <c r="I425" s="127"/>
      <c r="J425" s="111"/>
    </row>
    <row r="426" spans="1:10" ht="18">
      <c r="A426" s="111"/>
      <c r="B426" s="111"/>
      <c r="C426" s="111"/>
      <c r="D426" s="111"/>
      <c r="E426" s="111"/>
      <c r="F426" s="111"/>
      <c r="G426" s="111"/>
      <c r="H426" s="111"/>
      <c r="I426" s="127"/>
      <c r="J426" s="111"/>
    </row>
    <row r="427" spans="1:10" ht="18">
      <c r="A427" s="111"/>
      <c r="B427" s="111"/>
      <c r="C427" s="111"/>
      <c r="D427" s="111"/>
      <c r="E427" s="111"/>
      <c r="F427" s="111"/>
      <c r="G427" s="111"/>
      <c r="H427" s="111"/>
      <c r="I427" s="127"/>
      <c r="J427" s="111"/>
    </row>
    <row r="428" spans="1:10" ht="18">
      <c r="A428" s="111"/>
      <c r="B428" s="111"/>
      <c r="C428" s="111"/>
      <c r="D428" s="111"/>
      <c r="E428" s="111"/>
      <c r="F428" s="111"/>
      <c r="G428" s="111"/>
      <c r="H428" s="111"/>
      <c r="I428" s="127"/>
      <c r="J428" s="111"/>
    </row>
    <row r="429" spans="1:10" ht="18">
      <c r="A429" s="111"/>
      <c r="B429" s="111"/>
      <c r="C429" s="111"/>
      <c r="D429" s="111"/>
      <c r="E429" s="111"/>
      <c r="F429" s="111"/>
      <c r="G429" s="111"/>
      <c r="H429" s="111"/>
      <c r="I429" s="127"/>
      <c r="J429" s="111"/>
    </row>
    <row r="430" spans="1:10" ht="18">
      <c r="A430" s="111"/>
      <c r="B430" s="111"/>
      <c r="C430" s="111"/>
      <c r="D430" s="111"/>
      <c r="E430" s="111"/>
      <c r="F430" s="111"/>
      <c r="G430" s="111"/>
      <c r="H430" s="111"/>
      <c r="I430" s="127"/>
      <c r="J430" s="111"/>
    </row>
    <row r="431" spans="1:10" ht="15">
      <c r="A431" s="111"/>
      <c r="B431" s="111"/>
      <c r="C431" s="111"/>
      <c r="D431" s="111"/>
      <c r="E431" s="111"/>
      <c r="F431" s="111"/>
      <c r="G431" s="111"/>
      <c r="H431" s="146" t="s">
        <v>182</v>
      </c>
      <c r="I431" s="160">
        <f>((E384-$C$405)+(F384-$C$402))/2</f>
        <v>0.081</v>
      </c>
      <c r="J431" s="111"/>
    </row>
    <row r="432" spans="1:10" ht="15">
      <c r="A432" s="111"/>
      <c r="B432" s="111"/>
      <c r="C432" s="111"/>
      <c r="D432" s="111"/>
      <c r="E432" s="111"/>
      <c r="F432" s="111"/>
      <c r="G432" s="111"/>
      <c r="H432" s="111"/>
      <c r="I432" s="127"/>
      <c r="J432" s="111"/>
    </row>
    <row r="433" spans="1:10" ht="15">
      <c r="A433" s="111"/>
      <c r="B433" s="111"/>
      <c r="C433" s="111"/>
      <c r="D433" s="111"/>
      <c r="E433" s="111"/>
      <c r="F433" s="111"/>
      <c r="G433" s="111"/>
      <c r="H433" s="146" t="s">
        <v>82</v>
      </c>
      <c r="I433" s="160">
        <f>((E392-$C$405)+(F392-$C$402))/2</f>
        <v>0.063</v>
      </c>
      <c r="J433" s="111"/>
    </row>
    <row r="434" spans="1:10" ht="15">
      <c r="A434" s="111"/>
      <c r="B434" s="111"/>
      <c r="C434" s="111"/>
      <c r="D434" s="111"/>
      <c r="E434" s="111"/>
      <c r="F434" s="111"/>
      <c r="G434" s="111"/>
      <c r="H434" s="111"/>
      <c r="I434" s="127"/>
      <c r="J434" s="111"/>
    </row>
    <row r="435" spans="1:10" ht="15">
      <c r="A435" s="111"/>
      <c r="B435" s="111"/>
      <c r="C435" s="111"/>
      <c r="D435" s="111"/>
      <c r="E435" s="111"/>
      <c r="F435" s="111"/>
      <c r="G435" s="111"/>
      <c r="H435" s="146" t="s">
        <v>83</v>
      </c>
      <c r="I435" s="160">
        <f>((E386-$C$405)+(F386-$C$402))/2</f>
        <v>0.046</v>
      </c>
      <c r="J435" s="111"/>
    </row>
    <row r="436" spans="1:10" ht="15">
      <c r="A436" s="111"/>
      <c r="B436" s="111"/>
      <c r="C436" s="111"/>
      <c r="D436" s="111"/>
      <c r="E436" s="111"/>
      <c r="F436" s="111"/>
      <c r="G436" s="111"/>
      <c r="H436" s="111"/>
      <c r="I436" s="127"/>
      <c r="J436" s="111"/>
    </row>
    <row r="437" spans="1:10" ht="15">
      <c r="A437" s="111"/>
      <c r="B437" s="128" t="s">
        <v>204</v>
      </c>
      <c r="C437" s="128" t="s">
        <v>205</v>
      </c>
      <c r="D437" s="128" t="s">
        <v>160</v>
      </c>
      <c r="E437" s="128" t="s">
        <v>132</v>
      </c>
      <c r="F437" s="128" t="s">
        <v>207</v>
      </c>
      <c r="G437" s="128" t="s">
        <v>133</v>
      </c>
      <c r="I437" s="127"/>
      <c r="J437" s="111"/>
    </row>
    <row r="438" spans="1:10" ht="15">
      <c r="A438" s="111" t="s">
        <v>204</v>
      </c>
      <c r="B438" s="143" t="s">
        <v>234</v>
      </c>
      <c r="C438" s="144">
        <v>0.015</v>
      </c>
      <c r="D438" s="144">
        <v>0.045</v>
      </c>
      <c r="E438" s="145">
        <f>((E384-C405)+(F384-C402))/2</f>
        <v>0.081</v>
      </c>
      <c r="F438" s="135">
        <f>C438+D438+E438</f>
        <v>0.14100000000000001</v>
      </c>
      <c r="G438" s="135">
        <f>F438/2</f>
        <v>0.07050000000000001</v>
      </c>
      <c r="H438" s="111"/>
      <c r="I438" s="127"/>
      <c r="J438" s="111"/>
    </row>
    <row r="439" spans="1:10" ht="15">
      <c r="A439" s="111" t="s">
        <v>205</v>
      </c>
      <c r="B439" s="147">
        <f>C438-(F438+F439)/2</f>
        <v>-0.1095</v>
      </c>
      <c r="C439" s="148" t="s">
        <v>234</v>
      </c>
      <c r="D439" s="148">
        <v>0.03</v>
      </c>
      <c r="E439" s="149">
        <f>((E385-C405)+(F385-C402))/2</f>
        <v>0.063</v>
      </c>
      <c r="F439" s="135">
        <f>E439+D439+C438</f>
        <v>0.108</v>
      </c>
      <c r="G439" s="135">
        <f>F439/2</f>
        <v>0.054</v>
      </c>
      <c r="H439" s="111"/>
      <c r="I439" s="127"/>
      <c r="J439" s="111"/>
    </row>
    <row r="440" spans="1:10" ht="15">
      <c r="A440" s="111" t="s">
        <v>160</v>
      </c>
      <c r="B440" s="147">
        <f>D438-(F438+F440)/2</f>
        <v>-0.08600000000000001</v>
      </c>
      <c r="C440" s="148">
        <f>D439-(F439+F440)/2</f>
        <v>-0.08449999999999999</v>
      </c>
      <c r="D440" s="148" t="s">
        <v>234</v>
      </c>
      <c r="E440" s="149">
        <f>((E386-C405)+(F386-C402))/2</f>
        <v>0.046</v>
      </c>
      <c r="F440" s="135">
        <f>E440+D439+D438</f>
        <v>0.121</v>
      </c>
      <c r="G440" s="135">
        <f>F440/2</f>
        <v>0.0605</v>
      </c>
      <c r="H440" s="111" t="s">
        <v>85</v>
      </c>
      <c r="I440" s="127"/>
      <c r="J440" s="111"/>
    </row>
    <row r="441" spans="1:10" ht="15">
      <c r="A441" s="111" t="s">
        <v>134</v>
      </c>
      <c r="B441" s="150">
        <f>E438-(F438+F441)/2</f>
        <v>-0.0845</v>
      </c>
      <c r="C441" s="151">
        <f>E439-(F439+F441)/2</f>
        <v>-0.086</v>
      </c>
      <c r="D441" s="161">
        <f>E440-(F440+F441)/2</f>
        <v>-0.1095</v>
      </c>
      <c r="E441" s="152" t="s">
        <v>234</v>
      </c>
      <c r="F441" s="135">
        <f>E438+E439+E440</f>
        <v>0.19</v>
      </c>
      <c r="G441" s="135">
        <f>F441/2</f>
        <v>0.095</v>
      </c>
      <c r="H441" s="112" t="s">
        <v>84</v>
      </c>
      <c r="I441" s="162"/>
      <c r="J441" s="112"/>
    </row>
    <row r="442" spans="1:10" ht="15">
      <c r="A442" s="111"/>
      <c r="B442" s="111"/>
      <c r="C442" s="111"/>
      <c r="D442" s="111"/>
      <c r="E442" s="111"/>
      <c r="F442" s="111"/>
      <c r="G442" s="111"/>
      <c r="H442" s="112" t="s">
        <v>90</v>
      </c>
      <c r="I442" s="162"/>
      <c r="J442" s="112"/>
    </row>
    <row r="443" spans="1:10" ht="15">
      <c r="A443" s="175"/>
      <c r="B443" s="175" t="s">
        <v>190</v>
      </c>
      <c r="C443" s="164">
        <f>E440/2+(G440-G441)/2</f>
        <v>0.005749999999999998</v>
      </c>
      <c r="D443" s="111" t="s">
        <v>88</v>
      </c>
      <c r="E443" s="111"/>
      <c r="F443" s="111"/>
      <c r="G443" s="111"/>
      <c r="H443" s="111"/>
      <c r="I443" s="127"/>
      <c r="J443" s="111"/>
    </row>
    <row r="444" spans="1:10" ht="15">
      <c r="A444" s="175"/>
      <c r="B444" s="175" t="s">
        <v>191</v>
      </c>
      <c r="C444" s="176">
        <f>E440-C443</f>
        <v>0.04025</v>
      </c>
      <c r="D444" s="111"/>
      <c r="E444" s="111"/>
      <c r="F444" s="111"/>
      <c r="G444" s="111"/>
      <c r="H444" s="111"/>
      <c r="I444" s="127"/>
      <c r="J444" s="111"/>
    </row>
    <row r="445" spans="1:10" ht="15">
      <c r="A445" s="111"/>
      <c r="B445" s="111"/>
      <c r="C445" s="111"/>
      <c r="D445" s="111"/>
      <c r="E445" s="111"/>
      <c r="F445" s="111"/>
      <c r="G445" s="111"/>
      <c r="H445" s="111"/>
      <c r="I445" s="127"/>
      <c r="J445" s="111"/>
    </row>
    <row r="446" spans="1:10" ht="15">
      <c r="A446" s="111"/>
      <c r="B446" s="128" t="s">
        <v>204</v>
      </c>
      <c r="C446" s="128" t="s">
        <v>205</v>
      </c>
      <c r="D446" s="128" t="s">
        <v>135</v>
      </c>
      <c r="E446" s="128" t="s">
        <v>143</v>
      </c>
      <c r="F446" s="111" t="s">
        <v>86</v>
      </c>
      <c r="G446" s="111"/>
      <c r="H446" s="111"/>
      <c r="I446" s="127"/>
      <c r="J446" s="111"/>
    </row>
    <row r="447" spans="1:10" ht="15">
      <c r="A447" s="111" t="s">
        <v>204</v>
      </c>
      <c r="B447" s="143" t="s">
        <v>210</v>
      </c>
      <c r="C447" s="144">
        <f>C438</f>
        <v>0.015</v>
      </c>
      <c r="D447" s="145">
        <f>(D384)/2+(E438-E440)/2</f>
        <v>0.04</v>
      </c>
      <c r="E447" s="128">
        <f>C447+D447</f>
        <v>0.055</v>
      </c>
      <c r="F447" s="111"/>
      <c r="G447" s="111"/>
      <c r="H447" s="111"/>
      <c r="I447" s="127"/>
      <c r="J447" s="111"/>
    </row>
    <row r="448" spans="1:10" ht="15">
      <c r="A448" s="111" t="s">
        <v>205</v>
      </c>
      <c r="B448" s="163">
        <f>C447-(C447+D447+D447+D448)</f>
        <v>-0.1035</v>
      </c>
      <c r="C448" s="148" t="s">
        <v>210</v>
      </c>
      <c r="D448" s="149">
        <f>(D385)/2+(E439-E440)/2</f>
        <v>0.0235</v>
      </c>
      <c r="E448" s="128">
        <f>C447+D448</f>
        <v>0.0385</v>
      </c>
      <c r="F448" s="111"/>
      <c r="G448" s="111"/>
      <c r="H448" s="111"/>
      <c r="I448" s="127"/>
      <c r="J448" s="111"/>
    </row>
    <row r="449" spans="1:10" ht="15">
      <c r="A449" s="111" t="s">
        <v>135</v>
      </c>
      <c r="B449" s="150">
        <f>D447-(C447+D447+D447+D448)</f>
        <v>-0.07849999999999999</v>
      </c>
      <c r="C449" s="151">
        <f>D448-(C447+D448+D447+D448)</f>
        <v>-0.07850000000000001</v>
      </c>
      <c r="D449" s="152" t="s">
        <v>210</v>
      </c>
      <c r="E449" s="128">
        <f>D447+D448</f>
        <v>0.0635</v>
      </c>
      <c r="F449" s="111"/>
      <c r="G449" s="111"/>
      <c r="H449" s="111"/>
      <c r="I449" s="127"/>
      <c r="J449" s="111"/>
    </row>
    <row r="450" spans="1:10" ht="15">
      <c r="A450" s="111"/>
      <c r="B450" s="111"/>
      <c r="C450" s="111"/>
      <c r="D450" s="111"/>
      <c r="E450" s="111"/>
      <c r="F450" s="111"/>
      <c r="G450" s="111"/>
      <c r="H450" s="111"/>
      <c r="I450" s="127"/>
      <c r="J450" s="111"/>
    </row>
    <row r="451" spans="1:10" ht="15">
      <c r="A451" s="164" t="s">
        <v>87</v>
      </c>
      <c r="B451" s="164">
        <f>D448/2+(E448-E449)/2</f>
        <v>-0.0007500000000000007</v>
      </c>
      <c r="C451" s="111" t="s">
        <v>89</v>
      </c>
      <c r="D451" s="111"/>
      <c r="E451" s="111"/>
      <c r="F451" s="111"/>
      <c r="G451" s="111"/>
      <c r="H451" s="111"/>
      <c r="I451" s="127"/>
      <c r="J451" s="111"/>
    </row>
    <row r="452" spans="1:10" ht="15">
      <c r="A452" s="164" t="s">
        <v>136</v>
      </c>
      <c r="B452" s="164">
        <f>D447-B451</f>
        <v>0.04075</v>
      </c>
      <c r="C452" s="111"/>
      <c r="D452" s="111"/>
      <c r="E452" s="111"/>
      <c r="F452" s="111"/>
      <c r="G452" s="111"/>
      <c r="H452" s="111"/>
      <c r="I452" s="127"/>
      <c r="J452" s="111"/>
    </row>
    <row r="453" spans="1:10" ht="15">
      <c r="A453" s="111"/>
      <c r="B453" s="111"/>
      <c r="C453" s="111"/>
      <c r="D453" s="111"/>
      <c r="E453" s="111"/>
      <c r="F453" s="111"/>
      <c r="G453" s="111"/>
      <c r="H453" s="111"/>
      <c r="I453" s="127"/>
      <c r="J453" s="111"/>
    </row>
    <row r="454" spans="1:10" ht="15">
      <c r="A454" s="111"/>
      <c r="B454" s="128" t="s">
        <v>204</v>
      </c>
      <c r="C454" s="128" t="s">
        <v>137</v>
      </c>
      <c r="D454" s="111"/>
      <c r="E454" s="111"/>
      <c r="F454" s="111"/>
      <c r="G454" s="111"/>
      <c r="H454" s="111"/>
      <c r="I454" s="127"/>
      <c r="J454" s="111"/>
    </row>
    <row r="455" spans="1:10" ht="15">
      <c r="A455" s="111" t="s">
        <v>204</v>
      </c>
      <c r="B455" s="131" t="s">
        <v>234</v>
      </c>
      <c r="C455" s="183">
        <f>C447-B451</f>
        <v>0.01575</v>
      </c>
      <c r="D455" s="111"/>
      <c r="E455" s="111" t="s">
        <v>138</v>
      </c>
      <c r="F455" s="111"/>
      <c r="G455" s="111"/>
      <c r="H455" s="111"/>
      <c r="I455" s="127"/>
      <c r="J455" s="111"/>
    </row>
    <row r="456" spans="1:10" ht="15">
      <c r="A456" s="111" t="s">
        <v>137</v>
      </c>
      <c r="B456" s="140"/>
      <c r="C456" s="141" t="s">
        <v>234</v>
      </c>
      <c r="D456" s="111"/>
      <c r="E456" s="111"/>
      <c r="F456" s="111"/>
      <c r="G456" s="111"/>
      <c r="H456" s="111"/>
      <c r="I456" s="127"/>
      <c r="J456" s="111"/>
    </row>
    <row r="457" spans="1:9" ht="15">
      <c r="A457" s="165"/>
      <c r="B457" s="165"/>
      <c r="C457" s="165"/>
      <c r="D457" s="165"/>
      <c r="E457" s="165"/>
      <c r="F457" s="165"/>
      <c r="G457" s="165"/>
      <c r="H457" s="165"/>
      <c r="I457" s="165"/>
    </row>
    <row r="458" spans="1:9" ht="18">
      <c r="A458" s="165"/>
      <c r="B458" s="165"/>
      <c r="C458" s="165"/>
      <c r="D458" s="165"/>
      <c r="E458" s="165"/>
      <c r="F458" s="165"/>
      <c r="G458" s="165"/>
      <c r="H458" s="165"/>
      <c r="I458" s="165"/>
    </row>
    <row r="459" spans="1:9" ht="18">
      <c r="A459" s="165"/>
      <c r="B459" s="165"/>
      <c r="C459" s="165"/>
      <c r="D459" s="165"/>
      <c r="E459" s="165"/>
      <c r="F459" s="165"/>
      <c r="G459" s="165"/>
      <c r="H459" s="165"/>
      <c r="I459" s="165"/>
    </row>
    <row r="460" spans="1:9" ht="18">
      <c r="A460" s="165"/>
      <c r="B460" s="165"/>
      <c r="C460" s="165"/>
      <c r="D460" s="165"/>
      <c r="E460" s="165"/>
      <c r="F460" s="165"/>
      <c r="G460" s="165"/>
      <c r="H460" s="165"/>
      <c r="I460" s="165"/>
    </row>
    <row r="461" spans="1:9" ht="18">
      <c r="A461" s="165"/>
      <c r="B461" s="165"/>
      <c r="C461" s="165"/>
      <c r="D461" s="165"/>
      <c r="E461" s="165"/>
      <c r="F461" s="165"/>
      <c r="G461" s="165"/>
      <c r="H461" s="165"/>
      <c r="I461" s="165"/>
    </row>
    <row r="462" spans="1:9" ht="18">
      <c r="A462" s="165"/>
      <c r="B462" s="165"/>
      <c r="C462" s="165"/>
      <c r="D462" s="165"/>
      <c r="E462" s="165"/>
      <c r="F462" s="165"/>
      <c r="G462" s="165"/>
      <c r="H462" s="165"/>
      <c r="I462" s="165"/>
    </row>
    <row r="463" spans="1:9" ht="18">
      <c r="A463" s="165"/>
      <c r="B463" s="165"/>
      <c r="C463" s="165"/>
      <c r="D463" s="165"/>
      <c r="E463" s="165"/>
      <c r="F463" s="165"/>
      <c r="G463" s="165"/>
      <c r="H463" s="165"/>
      <c r="I463" s="165"/>
    </row>
    <row r="464" spans="1:10" ht="18">
      <c r="A464" s="165"/>
      <c r="B464" s="165"/>
      <c r="C464" s="165"/>
      <c r="D464" s="165"/>
      <c r="E464" s="165"/>
      <c r="F464" s="165"/>
      <c r="G464" s="165"/>
      <c r="H464" s="165"/>
      <c r="I464" s="165"/>
      <c r="J464" s="111"/>
    </row>
    <row r="465" spans="1:9" ht="18">
      <c r="A465" s="165"/>
      <c r="B465" s="165"/>
      <c r="C465" s="165"/>
      <c r="D465" s="165"/>
      <c r="E465" s="165"/>
      <c r="F465" s="165"/>
      <c r="G465" s="165"/>
      <c r="H465" s="165"/>
      <c r="I465" s="165"/>
    </row>
    <row r="466" spans="1:9" ht="18">
      <c r="A466" s="165"/>
      <c r="B466" s="165"/>
      <c r="C466" s="165"/>
      <c r="D466" s="165"/>
      <c r="E466" s="165"/>
      <c r="F466" s="165"/>
      <c r="G466" s="165"/>
      <c r="H466" s="165"/>
      <c r="I466" s="165"/>
    </row>
    <row r="467" spans="1:9" ht="18">
      <c r="A467" s="165"/>
      <c r="B467" s="165"/>
      <c r="C467" s="165"/>
      <c r="D467" s="165"/>
      <c r="E467" s="165"/>
      <c r="F467" s="165"/>
      <c r="G467" s="165"/>
      <c r="H467" s="165"/>
      <c r="I467" s="165"/>
    </row>
    <row r="468" spans="1:9" ht="18">
      <c r="A468" s="165"/>
      <c r="B468" s="165"/>
      <c r="C468" s="165"/>
      <c r="D468" s="165"/>
      <c r="E468" s="165"/>
      <c r="F468" s="165"/>
      <c r="G468" s="165"/>
      <c r="H468" s="165"/>
      <c r="I468" s="165"/>
    </row>
    <row r="469" spans="1:9" ht="18">
      <c r="A469" s="165"/>
      <c r="B469" s="165"/>
      <c r="C469" s="165"/>
      <c r="D469" s="165"/>
      <c r="E469" s="165"/>
      <c r="F469" s="165"/>
      <c r="G469" s="165"/>
      <c r="H469" s="165"/>
      <c r="I469" s="165"/>
    </row>
    <row r="470" spans="1:9" ht="18">
      <c r="A470" s="165"/>
      <c r="B470" s="165"/>
      <c r="C470" s="165"/>
      <c r="D470" s="165"/>
      <c r="E470" s="165"/>
      <c r="F470" s="165"/>
      <c r="G470" s="165"/>
      <c r="H470" s="165"/>
      <c r="I470" s="165"/>
    </row>
    <row r="471" spans="1:9" ht="18">
      <c r="A471" s="165"/>
      <c r="B471" s="165"/>
      <c r="C471" s="165"/>
      <c r="D471" s="165"/>
      <c r="E471" s="165"/>
      <c r="F471" s="165"/>
      <c r="G471" s="165"/>
      <c r="H471" s="165"/>
      <c r="I471" s="165"/>
    </row>
    <row r="472" spans="1:9" ht="18">
      <c r="A472" s="165"/>
      <c r="B472" s="165"/>
      <c r="C472" s="165"/>
      <c r="D472" s="165"/>
      <c r="E472" s="165"/>
      <c r="F472" s="165"/>
      <c r="G472" s="165"/>
      <c r="H472" s="165"/>
      <c r="I472" s="165"/>
    </row>
    <row r="473" spans="1:9" ht="18">
      <c r="A473" s="165"/>
      <c r="B473" s="165"/>
      <c r="C473" s="165"/>
      <c r="D473" s="165"/>
      <c r="E473" s="165"/>
      <c r="F473" s="165"/>
      <c r="G473" s="165"/>
      <c r="H473" s="165"/>
      <c r="I473" s="165"/>
    </row>
    <row r="474" spans="1:9" ht="18">
      <c r="A474" s="165"/>
      <c r="B474" s="165"/>
      <c r="C474" s="165"/>
      <c r="D474" s="165"/>
      <c r="E474" s="165"/>
      <c r="F474" s="165"/>
      <c r="G474" s="165"/>
      <c r="H474" s="165"/>
      <c r="I474" s="165"/>
    </row>
    <row r="475" spans="1:9" ht="18">
      <c r="A475" s="165"/>
      <c r="B475" s="165"/>
      <c r="C475" s="165"/>
      <c r="D475" s="165"/>
      <c r="E475" s="165"/>
      <c r="F475" s="165"/>
      <c r="G475" s="165"/>
      <c r="H475" s="165"/>
      <c r="I475" s="165"/>
    </row>
    <row r="476" spans="1:9" ht="18">
      <c r="A476" s="165"/>
      <c r="B476" s="165"/>
      <c r="C476" s="165"/>
      <c r="D476" s="165"/>
      <c r="E476" s="165"/>
      <c r="F476" s="165"/>
      <c r="G476" s="165"/>
      <c r="H476" s="165"/>
      <c r="I476" s="165"/>
    </row>
    <row r="477" spans="1:9" ht="18">
      <c r="A477" s="165"/>
      <c r="B477" s="165"/>
      <c r="C477" s="165"/>
      <c r="D477" s="165"/>
      <c r="E477" s="165"/>
      <c r="F477" s="165"/>
      <c r="G477" s="165"/>
      <c r="H477" s="165"/>
      <c r="I477" s="165"/>
    </row>
    <row r="478" spans="1:9" ht="18">
      <c r="A478" s="165"/>
      <c r="B478" s="165"/>
      <c r="C478" s="165"/>
      <c r="D478" s="165"/>
      <c r="E478" s="165"/>
      <c r="F478" s="165"/>
      <c r="G478" s="165"/>
      <c r="H478" s="165"/>
      <c r="I478" s="165"/>
    </row>
    <row r="479" spans="1:9" ht="18">
      <c r="A479" s="165"/>
      <c r="B479" s="165"/>
      <c r="C479" s="165"/>
      <c r="D479" s="165"/>
      <c r="E479" s="165"/>
      <c r="F479" s="165"/>
      <c r="G479" s="165"/>
      <c r="H479" s="165"/>
      <c r="I479" s="165"/>
    </row>
    <row r="480" spans="1:9" ht="18">
      <c r="A480" s="165"/>
      <c r="B480" s="165"/>
      <c r="C480" s="165"/>
      <c r="D480" s="165"/>
      <c r="E480" s="165"/>
      <c r="F480" s="165"/>
      <c r="G480" s="165"/>
      <c r="H480" s="165"/>
      <c r="I480" s="165"/>
    </row>
    <row r="481" spans="1:9" ht="18">
      <c r="A481" s="165"/>
      <c r="B481" s="165"/>
      <c r="C481" s="165"/>
      <c r="D481" s="165"/>
      <c r="E481" s="165"/>
      <c r="F481" s="165"/>
      <c r="G481" s="165"/>
      <c r="H481" s="165"/>
      <c r="I481" s="165"/>
    </row>
    <row r="482" spans="1:9" ht="18">
      <c r="A482" s="165"/>
      <c r="B482" s="165"/>
      <c r="C482" s="165"/>
      <c r="D482" s="165"/>
      <c r="E482" s="165"/>
      <c r="F482" s="165"/>
      <c r="G482" s="165"/>
      <c r="H482" s="165"/>
      <c r="I482" s="165"/>
    </row>
    <row r="483" spans="1:9" ht="15">
      <c r="A483" s="166" t="s">
        <v>213</v>
      </c>
      <c r="B483" s="165" t="s">
        <v>247</v>
      </c>
      <c r="C483" s="165"/>
      <c r="D483" s="165"/>
      <c r="E483" s="165"/>
      <c r="F483" s="165"/>
      <c r="G483" s="165"/>
      <c r="H483" s="165"/>
      <c r="I483" s="165"/>
    </row>
    <row r="484" spans="1:9" ht="15">
      <c r="A484" s="165"/>
      <c r="B484" s="165" t="s">
        <v>212</v>
      </c>
      <c r="C484" s="165"/>
      <c r="D484" s="165"/>
      <c r="E484" s="165"/>
      <c r="F484" s="165"/>
      <c r="G484" s="165"/>
      <c r="H484" s="165"/>
      <c r="I484" s="165"/>
    </row>
    <row r="485" spans="1:9" ht="15">
      <c r="A485" s="165"/>
      <c r="B485" s="165" t="s">
        <v>248</v>
      </c>
      <c r="C485" s="165"/>
      <c r="D485" s="165"/>
      <c r="E485" s="165"/>
      <c r="F485" s="165"/>
      <c r="G485" s="165"/>
      <c r="H485" s="165"/>
      <c r="I485" s="165"/>
    </row>
    <row r="487" ht="15">
      <c r="A487" s="1" t="s">
        <v>91</v>
      </c>
    </row>
    <row r="489" ht="15">
      <c r="A489" s="1" t="s">
        <v>92</v>
      </c>
    </row>
    <row r="491" spans="2:5" ht="15">
      <c r="B491" s="112" t="s">
        <v>183</v>
      </c>
      <c r="C491" s="112"/>
      <c r="D491" s="112">
        <f>C438/2+(G439-G438)/2</f>
        <v>-0.0007500000000000041</v>
      </c>
      <c r="E491" s="1" t="s">
        <v>184</v>
      </c>
    </row>
    <row r="492" spans="2:4" ht="15">
      <c r="B492" s="112" t="s">
        <v>185</v>
      </c>
      <c r="C492" s="112"/>
      <c r="D492" s="171">
        <f>C447-D491</f>
        <v>0.015750000000000004</v>
      </c>
    </row>
    <row r="493" spans="7:9" ht="15">
      <c r="G493" s="170" t="s">
        <v>17</v>
      </c>
      <c r="H493" s="170"/>
      <c r="I493" s="170"/>
    </row>
    <row r="494" spans="2:9" ht="15">
      <c r="B494" s="113" t="s">
        <v>135</v>
      </c>
      <c r="C494" s="113" t="s">
        <v>160</v>
      </c>
      <c r="D494" s="113" t="s">
        <v>134</v>
      </c>
      <c r="E494" s="72" t="s">
        <v>207</v>
      </c>
      <c r="F494" s="72" t="s">
        <v>143</v>
      </c>
      <c r="G494" s="170" t="s">
        <v>18</v>
      </c>
      <c r="H494" s="170"/>
      <c r="I494" s="170"/>
    </row>
    <row r="495" spans="1:9" ht="15">
      <c r="A495" s="114" t="s">
        <v>135</v>
      </c>
      <c r="B495" s="120" t="s">
        <v>210</v>
      </c>
      <c r="C495" s="117">
        <f>(D385+D384-C384)/2</f>
        <v>0.03</v>
      </c>
      <c r="D495" s="118">
        <f>(D500+D501-C391)/2</f>
        <v>0.0645</v>
      </c>
      <c r="E495" s="1">
        <f>C495+D495</f>
        <v>0.0945</v>
      </c>
      <c r="F495" s="115">
        <f>E495</f>
        <v>0.0945</v>
      </c>
      <c r="G495" s="170" t="s">
        <v>19</v>
      </c>
      <c r="H495" s="170"/>
      <c r="I495" s="170"/>
    </row>
    <row r="496" spans="1:6" ht="15">
      <c r="A496" s="114" t="s">
        <v>160</v>
      </c>
      <c r="B496" s="123">
        <f>C495-(E495+E496)/2</f>
        <v>-0.055249999999999994</v>
      </c>
      <c r="C496" s="69" t="s">
        <v>210</v>
      </c>
      <c r="D496" s="122">
        <f>E440</f>
        <v>0.046</v>
      </c>
      <c r="E496" s="84">
        <f>C495+D496</f>
        <v>0.076</v>
      </c>
      <c r="F496" s="84">
        <f>E496</f>
        <v>0.076</v>
      </c>
    </row>
    <row r="497" spans="1:6" ht="15">
      <c r="A497" s="114" t="s">
        <v>134</v>
      </c>
      <c r="B497" s="119">
        <f>D495-(E495+E497)/2</f>
        <v>-0.038000000000000006</v>
      </c>
      <c r="C497" s="116">
        <f>D496-(E496+E497)/2</f>
        <v>-0.04725</v>
      </c>
      <c r="D497" s="121" t="s">
        <v>210</v>
      </c>
      <c r="E497" s="84">
        <f>D495+D496</f>
        <v>0.1105</v>
      </c>
      <c r="F497" s="84">
        <f>E497</f>
        <v>0.1105</v>
      </c>
    </row>
    <row r="499" spans="3:9" ht="15">
      <c r="C499" s="172" t="s">
        <v>14</v>
      </c>
      <c r="D499" s="173"/>
      <c r="E499" s="118"/>
      <c r="F499" s="170" t="s">
        <v>20</v>
      </c>
      <c r="G499" s="170"/>
      <c r="H499" s="170"/>
      <c r="I499" s="170"/>
    </row>
    <row r="500" spans="3:5" ht="15">
      <c r="C500" s="167" t="s">
        <v>15</v>
      </c>
      <c r="D500" s="174">
        <f>((E385-C405)+(F385-C402))/2</f>
        <v>0.063</v>
      </c>
      <c r="E500" s="168"/>
    </row>
    <row r="501" spans="3:5" ht="15">
      <c r="C501" s="119" t="s">
        <v>16</v>
      </c>
      <c r="D501" s="121">
        <f>((E391-C405)+(F391-C402))/2</f>
        <v>0.081</v>
      </c>
      <c r="E501" s="169"/>
    </row>
    <row r="503" spans="1:4" ht="15">
      <c r="A503" s="1" t="s">
        <v>22</v>
      </c>
      <c r="C503" s="112">
        <f>(C495+D496-D495)/2</f>
        <v>0.005749999999999998</v>
      </c>
      <c r="D503" s="1" t="s">
        <v>21</v>
      </c>
    </row>
    <row r="504" ht="15">
      <c r="D504" s="1" t="s">
        <v>25</v>
      </c>
    </row>
    <row r="505" spans="1:3" ht="15">
      <c r="A505" s="1" t="s">
        <v>23</v>
      </c>
      <c r="C505" s="1">
        <f>C495-C503</f>
        <v>0.02425</v>
      </c>
    </row>
    <row r="506" spans="1:3" ht="15">
      <c r="A506" s="1" t="s">
        <v>24</v>
      </c>
      <c r="C506" s="1">
        <f>D495-C505</f>
        <v>0.04025</v>
      </c>
    </row>
  </sheetData>
  <mergeCells count="105">
    <mergeCell ref="G337:G338"/>
    <mergeCell ref="B337:B338"/>
    <mergeCell ref="C337:E337"/>
    <mergeCell ref="C338:E338"/>
    <mergeCell ref="F337:F338"/>
    <mergeCell ref="C213:E213"/>
    <mergeCell ref="A219:C220"/>
    <mergeCell ref="E219:E220"/>
    <mergeCell ref="F219:F220"/>
    <mergeCell ref="F204:F205"/>
    <mergeCell ref="G204:G205"/>
    <mergeCell ref="E198:H198"/>
    <mergeCell ref="E199:H199"/>
    <mergeCell ref="A204:A205"/>
    <mergeCell ref="B204:B205"/>
    <mergeCell ref="C204:C205"/>
    <mergeCell ref="D204:E204"/>
    <mergeCell ref="D205:E205"/>
    <mergeCell ref="I198:I199"/>
    <mergeCell ref="J198:J199"/>
    <mergeCell ref="A201:A202"/>
    <mergeCell ref="B201:B202"/>
    <mergeCell ref="D201:D202"/>
    <mergeCell ref="C201:C202"/>
    <mergeCell ref="G201:G202"/>
    <mergeCell ref="H201:H202"/>
    <mergeCell ref="E202:F202"/>
    <mergeCell ref="A198:A199"/>
    <mergeCell ref="B198:B199"/>
    <mergeCell ref="D198:D199"/>
    <mergeCell ref="C198:C199"/>
    <mergeCell ref="A54:C55"/>
    <mergeCell ref="C145:E145"/>
    <mergeCell ref="B130:B131"/>
    <mergeCell ref="A130:A131"/>
    <mergeCell ref="A133:A134"/>
    <mergeCell ref="B133:B134"/>
    <mergeCell ref="C130:C131"/>
    <mergeCell ref="A42:C43"/>
    <mergeCell ref="D42:E42"/>
    <mergeCell ref="F42:F43"/>
    <mergeCell ref="G42:G43"/>
    <mergeCell ref="D43:E43"/>
    <mergeCell ref="A39:C40"/>
    <mergeCell ref="D39:E39"/>
    <mergeCell ref="F39:F40"/>
    <mergeCell ref="G39:G40"/>
    <mergeCell ref="D40:E40"/>
    <mergeCell ref="A26:C27"/>
    <mergeCell ref="D26:E26"/>
    <mergeCell ref="F26:F27"/>
    <mergeCell ref="G26:G27"/>
    <mergeCell ref="D27:E27"/>
    <mergeCell ref="A20:C21"/>
    <mergeCell ref="D20:E20"/>
    <mergeCell ref="D21:E21"/>
    <mergeCell ref="F20:F21"/>
    <mergeCell ref="A23:C24"/>
    <mergeCell ref="D23:E23"/>
    <mergeCell ref="F23:F24"/>
    <mergeCell ref="G23:G24"/>
    <mergeCell ref="D24:E24"/>
    <mergeCell ref="H130:H131"/>
    <mergeCell ref="I130:I131"/>
    <mergeCell ref="D130:D131"/>
    <mergeCell ref="G20:G21"/>
    <mergeCell ref="H54:H55"/>
    <mergeCell ref="E130:G130"/>
    <mergeCell ref="E131:G131"/>
    <mergeCell ref="G54:G55"/>
    <mergeCell ref="D54:F54"/>
    <mergeCell ref="D55:F55"/>
    <mergeCell ref="E133:G133"/>
    <mergeCell ref="E134:G134"/>
    <mergeCell ref="I133:I134"/>
    <mergeCell ref="A136:A137"/>
    <mergeCell ref="B136:B137"/>
    <mergeCell ref="C136:C137"/>
    <mergeCell ref="D136:D137"/>
    <mergeCell ref="C133:C134"/>
    <mergeCell ref="H133:H134"/>
    <mergeCell ref="D133:D134"/>
    <mergeCell ref="A267:A268"/>
    <mergeCell ref="B267:B268"/>
    <mergeCell ref="D267:D268"/>
    <mergeCell ref="C267:C268"/>
    <mergeCell ref="D270:D271"/>
    <mergeCell ref="H267:H268"/>
    <mergeCell ref="I267:I268"/>
    <mergeCell ref="E267:G267"/>
    <mergeCell ref="E268:G268"/>
    <mergeCell ref="A273:A274"/>
    <mergeCell ref="B273:B274"/>
    <mergeCell ref="C273:C274"/>
    <mergeCell ref="A270:A271"/>
    <mergeCell ref="B270:B271"/>
    <mergeCell ref="C270:C271"/>
    <mergeCell ref="C282:E282"/>
    <mergeCell ref="A288:C289"/>
    <mergeCell ref="E288:E289"/>
    <mergeCell ref="F288:F289"/>
    <mergeCell ref="D273:F273"/>
    <mergeCell ref="G273:G274"/>
    <mergeCell ref="H273:H274"/>
    <mergeCell ref="D274:F274"/>
  </mergeCells>
  <printOptions/>
  <pageMargins left="0.75" right="0.75" top="1" bottom="1" header="0.5" footer="0.5"/>
  <pageSetup fitToHeight="0" orientation="portrait" paperSize="9" scale="68"/>
  <rowBreaks count="4" manualBreakCount="4">
    <brk id="103" max="9" man="1"/>
    <brk id="161" max="9" man="1"/>
    <brk id="275" max="9" man="1"/>
    <brk id="367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Zool., University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McDonald</dc:creator>
  <cp:keywords/>
  <dc:description/>
  <cp:lastModifiedBy>Dave McDonald</cp:lastModifiedBy>
  <cp:lastPrinted>1998-09-16T10:55:53Z</cp:lastPrinted>
  <dcterms:created xsi:type="dcterms:W3CDTF">1998-08-23T22:45:20Z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